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S:\MILKCTRL\1. MCB Programs\PRICE ANNOUNCEMENT\MT Quota Price and Dairy Revenue Estimator\2025\"/>
    </mc:Choice>
  </mc:AlternateContent>
  <xr:revisionPtr revIDLastSave="0" documentId="13_ncr:1_{585331A6-DF43-4F99-B6C1-DFEDE0F53A83}" xr6:coauthVersionLast="47" xr6:coauthVersionMax="47" xr10:uidLastSave="{00000000-0000-0000-0000-000000000000}"/>
  <bookViews>
    <workbookView xWindow="28680" yWindow="-120" windowWidth="29040" windowHeight="15720" firstSheet="1" activeTab="1" xr2:uid="{515C1E32-3A1A-4E87-A3CB-FF188909A201}"/>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Rec'!$B$148</definedName>
    <definedName name="EstClsIBFUtPerc">'Monthly Utilization by Class'!$B$129</definedName>
    <definedName name="EstClsIIBFUtPerc">'Monthly Utilization by Class'!$C$129</definedName>
    <definedName name="EstClsIIIBFUtPerc">'Monthly Utilization by Class'!$D$129</definedName>
    <definedName name="EstClsIIISkimUtPerc">'Monthly Utilization by Class'!$J$129</definedName>
    <definedName name="EstClsIISkimUTPerc">'Monthly Utilization by Class'!$I$129</definedName>
    <definedName name="EstClsIPckgSurpPoolBFUtPerc">'Percent Cls I Package Surplus'!$B$152</definedName>
    <definedName name="EstClsIPckgSurpPoolSkimUtPerc">'Percent Cls I Package Surplus'!$C$152</definedName>
    <definedName name="EstClsISkimUtPerc">'Monthly Utilization by Class'!$H$129</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Contiguous'!$B$125</definedName>
    <definedName name="PoolButterfatPercent">'Monthly Pool Butterfat Percent'!$B$148</definedName>
    <definedName name="PoolDailyProd">'Monthly Avg Daily Production'!$B$148</definedName>
    <definedName name="Pooling_Month">'Quota Price Estimator'!$B$4</definedName>
    <definedName name="PoolOverQuotaProdPerc">'Monthly Excess Milk Percentage'!$B$148</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8" i="7" l="1"/>
  <c r="B158" i="7"/>
  <c r="B157" i="7"/>
  <c r="B154" i="7"/>
  <c r="B152" i="7"/>
  <c r="B151" i="7"/>
  <c r="B134" i="8"/>
  <c r="B131" i="8"/>
  <c r="B129" i="8"/>
  <c r="B128" i="8"/>
  <c r="C162" i="6"/>
  <c r="B162" i="6"/>
  <c r="C161" i="6"/>
  <c r="B161" i="6"/>
  <c r="C158" i="6"/>
  <c r="B158" i="6"/>
  <c r="C156" i="6"/>
  <c r="B156" i="6"/>
  <c r="C155" i="6"/>
  <c r="B155" i="6"/>
  <c r="B156" i="5"/>
  <c r="B155" i="5"/>
  <c r="B154" i="5"/>
  <c r="B152" i="5"/>
  <c r="B151" i="5"/>
  <c r="B155" i="4"/>
  <c r="B153" i="4"/>
  <c r="B152" i="4"/>
  <c r="B158" i="3"/>
  <c r="B157" i="3"/>
  <c r="B154" i="3"/>
  <c r="B152" i="3"/>
  <c r="B151" i="3"/>
  <c r="F146" i="6"/>
  <c r="C139" i="2" l="1"/>
  <c r="D139" i="2"/>
  <c r="E139" i="2"/>
  <c r="H139" i="2"/>
  <c r="I139" i="2"/>
  <c r="J139" i="2"/>
  <c r="K139" i="2"/>
  <c r="C138" i="2"/>
  <c r="D138" i="2"/>
  <c r="E138" i="2"/>
  <c r="H138" i="2"/>
  <c r="I138" i="2"/>
  <c r="J138" i="2"/>
  <c r="K138" i="2"/>
  <c r="C135" i="2"/>
  <c r="D135" i="2"/>
  <c r="E135" i="2"/>
  <c r="H135" i="2"/>
  <c r="I135" i="2"/>
  <c r="J135" i="2"/>
  <c r="K135" i="2"/>
  <c r="C133" i="2"/>
  <c r="D133" i="2"/>
  <c r="E133" i="2"/>
  <c r="H133" i="2"/>
  <c r="I133" i="2"/>
  <c r="J133" i="2"/>
  <c r="K133" i="2"/>
  <c r="C132" i="2"/>
  <c r="D132" i="2"/>
  <c r="E132" i="2"/>
  <c r="H132" i="2"/>
  <c r="I132" i="2"/>
  <c r="J132" i="2"/>
  <c r="K132" i="2"/>
  <c r="B139" i="2"/>
  <c r="B138" i="2"/>
  <c r="B135" i="2"/>
  <c r="B133" i="2"/>
  <c r="B132" i="2"/>
  <c r="H121" i="2"/>
  <c r="K121" i="2" s="1"/>
  <c r="E121" i="2"/>
  <c r="C157" i="6" l="1"/>
  <c r="C152" i="6" s="1"/>
  <c r="F145" i="6"/>
  <c r="K120" i="2"/>
  <c r="B120" i="2"/>
  <c r="C159" i="6" l="1"/>
  <c r="E120" i="2"/>
  <c r="C134" i="2"/>
  <c r="C140" i="2" s="1"/>
  <c r="D134" i="2"/>
  <c r="I134" i="2"/>
  <c r="J134" i="2"/>
  <c r="F144" i="6"/>
  <c r="D140" i="2" l="1"/>
  <c r="K119" i="2"/>
  <c r="E119" i="2"/>
  <c r="F143" i="6" l="1"/>
  <c r="K118" i="2" l="1"/>
  <c r="E118" i="2"/>
  <c r="F142" i="6"/>
  <c r="D141" i="2" l="1"/>
  <c r="C136" i="2"/>
  <c r="C141" i="2"/>
  <c r="I141" i="2"/>
  <c r="J136" i="2"/>
  <c r="I136" i="2"/>
  <c r="I140" i="2"/>
  <c r="D136" i="2"/>
  <c r="K117" i="2"/>
  <c r="E117" i="2"/>
  <c r="J140" i="2" l="1"/>
  <c r="J141" i="2"/>
  <c r="F141" i="6"/>
  <c r="H116" i="2"/>
  <c r="K129" i="2" l="1"/>
  <c r="E129" i="2"/>
  <c r="K116" i="2"/>
  <c r="E116" i="2"/>
  <c r="F140" i="6" l="1"/>
  <c r="B115" i="2"/>
  <c r="E115" i="2" s="1"/>
  <c r="K115" i="2"/>
  <c r="D27" i="1"/>
  <c r="F139" i="6" l="1"/>
  <c r="K114" i="2"/>
  <c r="E114" i="2"/>
  <c r="F138" i="6"/>
  <c r="K113" i="2" l="1"/>
  <c r="B113" i="2"/>
  <c r="E113" i="2" l="1"/>
  <c r="C163" i="6" l="1"/>
  <c r="F137" i="6"/>
  <c r="C164" i="6" l="1"/>
  <c r="K112" i="2"/>
  <c r="E112" i="2"/>
  <c r="F136" i="6" l="1"/>
  <c r="K111" i="2"/>
  <c r="E111" i="2"/>
  <c r="F135" i="6" l="1"/>
  <c r="H110" i="2"/>
  <c r="E110" i="2"/>
  <c r="F134" i="6"/>
  <c r="K109" i="2"/>
  <c r="E109" i="2"/>
  <c r="A2" i="11"/>
  <c r="K110" i="2" l="1"/>
  <c r="H134" i="2"/>
  <c r="F133" i="6"/>
  <c r="K108" i="2"/>
  <c r="E108" i="2"/>
  <c r="B5" i="1"/>
  <c r="G15" i="10" s="1"/>
  <c r="F132" i="6"/>
  <c r="K107" i="2"/>
  <c r="E107" i="2"/>
  <c r="E134" i="2" s="1"/>
  <c r="F131" i="6"/>
  <c r="H106" i="2"/>
  <c r="E106" i="2"/>
  <c r="F130" i="6"/>
  <c r="K105" i="2"/>
  <c r="B105" i="2"/>
  <c r="E105" i="2" s="1"/>
  <c r="B153" i="3"/>
  <c r="B153" i="5"/>
  <c r="B148" i="5" s="1"/>
  <c r="B154" i="4"/>
  <c r="B148" i="4" s="1"/>
  <c r="M139" i="2"/>
  <c r="O138" i="2"/>
  <c r="F129" i="6"/>
  <c r="K104" i="2"/>
  <c r="E104" i="2"/>
  <c r="A2" i="1"/>
  <c r="A2" i="10"/>
  <c r="B153" i="7"/>
  <c r="B160" i="7" s="1"/>
  <c r="F158" i="6"/>
  <c r="F128" i="6"/>
  <c r="B130" i="8"/>
  <c r="B103" i="2"/>
  <c r="E103" i="2" s="1"/>
  <c r="K103" i="2"/>
  <c r="F127" i="6"/>
  <c r="K102" i="2"/>
  <c r="E102" i="2"/>
  <c r="F126" i="6"/>
  <c r="K101" i="2"/>
  <c r="E101" i="2"/>
  <c r="F125" i="6"/>
  <c r="K100" i="2"/>
  <c r="E100" i="2"/>
  <c r="B157" i="6"/>
  <c r="B152" i="6" s="1"/>
  <c r="F124" i="6"/>
  <c r="K99" i="2"/>
  <c r="E99" i="2"/>
  <c r="F156" i="6"/>
  <c r="F123" i="6"/>
  <c r="E98" i="2"/>
  <c r="K98" i="2"/>
  <c r="F122" i="6"/>
  <c r="H87" i="2"/>
  <c r="K87" i="2"/>
  <c r="K97" i="2"/>
  <c r="E97" i="2"/>
  <c r="B60" i="11"/>
  <c r="F121" i="6"/>
  <c r="K95" i="2"/>
  <c r="E95" i="2"/>
  <c r="F119" i="6"/>
  <c r="K94" i="2"/>
  <c r="E94" i="2"/>
  <c r="F120" i="6"/>
  <c r="K96" i="2"/>
  <c r="E96" i="2"/>
  <c r="F118" i="6"/>
  <c r="K93" i="2"/>
  <c r="E93" i="2"/>
  <c r="B72" i="1"/>
  <c r="B73" i="1"/>
  <c r="P83" i="1"/>
  <c r="N83" i="1"/>
  <c r="N91" i="1" s="1"/>
  <c r="O91" i="1"/>
  <c r="G83" i="1" s="1"/>
  <c r="F117" i="6"/>
  <c r="K92" i="2"/>
  <c r="E92" i="2"/>
  <c r="F116" i="6"/>
  <c r="K91" i="2"/>
  <c r="B91" i="2"/>
  <c r="F115" i="6"/>
  <c r="K90" i="2"/>
  <c r="E90" i="2"/>
  <c r="F114" i="6"/>
  <c r="H89" i="2"/>
  <c r="B89" i="2"/>
  <c r="E89" i="2" s="1"/>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29" i="2"/>
  <c r="K66" i="2"/>
  <c r="E66" i="2"/>
  <c r="F90" i="6"/>
  <c r="K65" i="2"/>
  <c r="E65" i="2"/>
  <c r="F89" i="6"/>
  <c r="K64" i="2"/>
  <c r="E64" i="2"/>
  <c r="F88" i="6"/>
  <c r="K63" i="2"/>
  <c r="E63" i="2"/>
  <c r="F87" i="6"/>
  <c r="K62" i="2"/>
  <c r="E62" i="2"/>
  <c r="F86" i="6"/>
  <c r="K61" i="2"/>
  <c r="E61" i="2"/>
  <c r="F85" i="6"/>
  <c r="K60" i="2"/>
  <c r="E60" i="2"/>
  <c r="F84" i="6"/>
  <c r="K59" i="2"/>
  <c r="E59" i="2"/>
  <c r="F83" i="6"/>
  <c r="K58" i="2"/>
  <c r="E58" i="2"/>
  <c r="F82" i="6"/>
  <c r="K57" i="2"/>
  <c r="E57" i="2"/>
  <c r="F81" i="6"/>
  <c r="K56" i="2"/>
  <c r="E56" i="2"/>
  <c r="F80" i="6"/>
  <c r="K55" i="2"/>
  <c r="E55" i="2"/>
  <c r="F79" i="6"/>
  <c r="K54" i="2"/>
  <c r="E54" i="2"/>
  <c r="F78" i="6"/>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Q129" i="2"/>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47" i="3"/>
  <c r="K3" i="2"/>
  <c r="E3" i="2"/>
  <c r="A147" i="7"/>
  <c r="A124" i="8"/>
  <c r="A151" i="6"/>
  <c r="A147" i="5"/>
  <c r="A147" i="4"/>
  <c r="G128" i="2"/>
  <c r="A128" i="2"/>
  <c r="B18" i="11"/>
  <c r="B17" i="11"/>
  <c r="B16" i="11"/>
  <c r="B12" i="11"/>
  <c r="B11" i="11"/>
  <c r="B10" i="11"/>
  <c r="I18" i="1"/>
  <c r="B51" i="11" s="1"/>
  <c r="I16" i="1"/>
  <c r="B49" i="11" s="1"/>
  <c r="I17" i="1"/>
  <c r="B50" i="11" s="1"/>
  <c r="H18" i="1"/>
  <c r="B47" i="11" s="1"/>
  <c r="H17" i="1"/>
  <c r="B46" i="11" s="1"/>
  <c r="H16" i="1"/>
  <c r="B45" i="11" s="1"/>
  <c r="G14" i="10"/>
  <c r="H14" i="10" s="1"/>
  <c r="B19" i="10"/>
  <c r="B18" i="10"/>
  <c r="I42" i="1"/>
  <c r="B24" i="11"/>
  <c r="F160" i="6"/>
  <c r="O135" i="2"/>
  <c r="O133" i="2"/>
  <c r="M133" i="2"/>
  <c r="E91" i="2"/>
  <c r="O139" i="2"/>
  <c r="M135" i="2"/>
  <c r="M138" i="2"/>
  <c r="B159" i="3" l="1"/>
  <c r="B148" i="3"/>
  <c r="B135" i="8"/>
  <c r="B125" i="8"/>
  <c r="K106" i="2"/>
  <c r="K134" i="2"/>
  <c r="B163" i="6"/>
  <c r="F163" i="6" s="1"/>
  <c r="B157" i="5"/>
  <c r="B156" i="4"/>
  <c r="B13" i="1"/>
  <c r="B13" i="11"/>
  <c r="B134" i="2"/>
  <c r="B136" i="2" s="1"/>
  <c r="K89" i="2"/>
  <c r="B159" i="6"/>
  <c r="F159" i="6" s="1"/>
  <c r="B21" i="11"/>
  <c r="B155" i="7"/>
  <c r="B159" i="7"/>
  <c r="B132" i="8"/>
  <c r="F157" i="6"/>
  <c r="B164" i="6"/>
  <c r="B158" i="5"/>
  <c r="B19" i="11"/>
  <c r="I19" i="1"/>
  <c r="M134" i="2"/>
  <c r="O134" i="2"/>
  <c r="B160" i="3"/>
  <c r="B155" i="3"/>
  <c r="H19" i="1"/>
  <c r="G34" i="10"/>
  <c r="G37" i="10"/>
  <c r="G36" i="10"/>
  <c r="G38" i="10"/>
  <c r="G35" i="10"/>
  <c r="G39" i="10"/>
  <c r="G28" i="10"/>
  <c r="H15" i="10"/>
  <c r="I15" i="10" s="1"/>
  <c r="G13" i="10"/>
  <c r="I14" i="10"/>
  <c r="F89" i="1"/>
  <c r="F83" i="1"/>
  <c r="P91" i="1"/>
  <c r="H89" i="1" s="1"/>
  <c r="G89" i="1"/>
  <c r="G91" i="1" s="1"/>
  <c r="B6" i="11" l="1"/>
  <c r="B7" i="1"/>
  <c r="B26" i="11"/>
  <c r="F45" i="1"/>
  <c r="F46" i="1" s="1"/>
  <c r="F47" i="1" s="1"/>
  <c r="H140" i="2"/>
  <c r="H136" i="2"/>
  <c r="H141" i="2"/>
  <c r="K141" i="2"/>
  <c r="K136" i="2"/>
  <c r="K140" i="2"/>
  <c r="H42" i="1"/>
  <c r="F152" i="6"/>
  <c r="B23" i="11"/>
  <c r="B7" i="11"/>
  <c r="B8" i="1"/>
  <c r="B5" i="11"/>
  <c r="B6" i="1"/>
  <c r="B141" i="2"/>
  <c r="B140" i="2"/>
  <c r="E136" i="2"/>
  <c r="E140" i="2"/>
  <c r="E141" i="2"/>
  <c r="I13" i="10"/>
  <c r="H13" i="10"/>
  <c r="F161" i="6"/>
  <c r="F164" i="6"/>
  <c r="B12" i="1"/>
  <c r="B39" i="11"/>
  <c r="C13" i="1"/>
  <c r="H83" i="1"/>
  <c r="H91" i="1" s="1"/>
  <c r="F91" i="1"/>
  <c r="B67" i="1" l="1"/>
  <c r="B41" i="11"/>
  <c r="I34" i="1"/>
  <c r="D34" i="1"/>
  <c r="C34" i="1"/>
  <c r="H34" i="1"/>
  <c r="B43" i="11"/>
  <c r="C12" i="1"/>
  <c r="D12" i="1" s="1"/>
  <c r="C16" i="1"/>
  <c r="C56" i="1"/>
  <c r="C17" i="1"/>
  <c r="C18" i="1"/>
  <c r="C42" i="1"/>
  <c r="B11" i="1"/>
  <c r="D13" i="1"/>
  <c r="B76" i="1" l="1"/>
  <c r="B80" i="1" s="1"/>
  <c r="B77" i="1"/>
  <c r="C23" i="1"/>
  <c r="C24" i="1"/>
  <c r="C22" i="1"/>
  <c r="C19" i="1"/>
  <c r="C11" i="1"/>
  <c r="D42" i="1"/>
  <c r="B42" i="1" s="1"/>
  <c r="D11" i="1"/>
  <c r="D16" i="1"/>
  <c r="B16" i="1" s="1"/>
  <c r="D18" i="1"/>
  <c r="D24" i="1" s="1"/>
  <c r="D17" i="1"/>
  <c r="D23" i="1" s="1"/>
  <c r="D56" i="1"/>
  <c r="B56" i="1" s="1"/>
  <c r="B56" i="11" s="1"/>
  <c r="B82" i="1" l="1"/>
  <c r="B83" i="1" s="1"/>
  <c r="B88" i="1"/>
  <c r="B85" i="1"/>
  <c r="B89" i="1" s="1"/>
  <c r="B53" i="11"/>
  <c r="B45" i="1"/>
  <c r="B50" i="1" s="1"/>
  <c r="B18" i="1"/>
  <c r="B24" i="1"/>
  <c r="D19" i="1"/>
  <c r="D22" i="1"/>
  <c r="D25" i="1" s="1"/>
  <c r="C25" i="1"/>
  <c r="C30" i="1" s="1"/>
  <c r="B23" i="1"/>
  <c r="B17" i="1"/>
  <c r="K89" i="1" l="1"/>
  <c r="L89" i="1"/>
  <c r="J89" i="1"/>
  <c r="K83" i="1"/>
  <c r="J83" i="1"/>
  <c r="L83" i="1"/>
  <c r="B19" i="1"/>
  <c r="B22" i="1"/>
  <c r="B25" i="1" s="1"/>
  <c r="H33" i="1"/>
  <c r="H35" i="1" s="1"/>
  <c r="C33" i="1"/>
  <c r="C35" i="1" s="1"/>
  <c r="B46" i="1"/>
  <c r="B51" i="1" s="1"/>
  <c r="B52" i="1" s="1"/>
  <c r="L91" i="1" l="1"/>
  <c r="G59" i="1" s="1"/>
  <c r="J91" i="1"/>
  <c r="H59" i="1" s="1"/>
  <c r="K91" i="1"/>
  <c r="F59" i="1" s="1"/>
  <c r="D28" i="1"/>
  <c r="B54" i="11"/>
  <c r="H18" i="10"/>
  <c r="C9" i="10"/>
  <c r="B36" i="11" s="1"/>
  <c r="H19" i="10"/>
  <c r="C10" i="10"/>
  <c r="B57" i="11" l="1"/>
  <c r="B30" i="11"/>
  <c r="B59" i="1"/>
  <c r="H20" i="10"/>
  <c r="B20" i="10"/>
  <c r="B58" i="11" l="1"/>
  <c r="D29" i="1"/>
  <c r="D30" i="1" s="1"/>
  <c r="G45" i="10"/>
  <c r="I33" i="1" l="1"/>
  <c r="I35" i="1" s="1"/>
  <c r="D33" i="1"/>
  <c r="D35" i="1" s="1"/>
  <c r="B30" i="1"/>
  <c r="B62" i="11" s="1"/>
  <c r="I18" i="10" l="1"/>
  <c r="B9" i="10"/>
  <c r="B35" i="11" s="1"/>
  <c r="D9" i="10"/>
  <c r="B37" i="11" s="1"/>
  <c r="G9" i="10"/>
  <c r="B10" i="10"/>
  <c r="I19" i="10"/>
  <c r="G19" i="10" s="1"/>
  <c r="G10" i="10"/>
  <c r="D10" i="10"/>
  <c r="I20" i="10" l="1"/>
  <c r="G18" i="10"/>
  <c r="G20" i="10" s="1"/>
  <c r="G27" i="10" s="1"/>
  <c r="G40" i="10" s="1"/>
  <c r="G4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 ref="B113" authorId="0" shapeId="0" xr:uid="{3D0A1DBE-5765-4C6A-BD21-454B509DB861}">
      <text>
        <r>
          <rPr>
            <b/>
            <sz val="9"/>
            <color indexed="81"/>
            <rFont val="Tahoma"/>
            <family val="2"/>
          </rPr>
          <t>Satre, Michele:</t>
        </r>
        <r>
          <rPr>
            <sz val="9"/>
            <color indexed="81"/>
            <rFont val="Tahoma"/>
            <family val="2"/>
          </rPr>
          <t xml:space="preserve">
Add .01% to get the amounts to total 100%</t>
        </r>
      </text>
    </comment>
    <comment ref="B115" authorId="0" shapeId="0" xr:uid="{8F5C1408-E3E0-4EDA-AC45-9A5DC35A7D0B}">
      <text>
        <r>
          <rPr>
            <b/>
            <sz val="9"/>
            <color indexed="81"/>
            <rFont val="Tahoma"/>
            <family val="2"/>
          </rPr>
          <t>Satre, Michele:</t>
        </r>
        <r>
          <rPr>
            <sz val="9"/>
            <color indexed="81"/>
            <rFont val="Tahoma"/>
            <family val="2"/>
          </rPr>
          <t xml:space="preserve">
Add .01% to get the amounts to total 100%</t>
        </r>
      </text>
    </comment>
    <comment ref="H116" authorId="0" shapeId="0" xr:uid="{7CA9C0DC-E879-46B2-9C15-574C01FE5D29}">
      <text>
        <r>
          <rPr>
            <b/>
            <sz val="9"/>
            <color indexed="81"/>
            <rFont val="Tahoma"/>
            <family val="2"/>
          </rPr>
          <t>Satre, Michele:</t>
        </r>
        <r>
          <rPr>
            <sz val="9"/>
            <color indexed="81"/>
            <rFont val="Tahoma"/>
            <family val="2"/>
          </rPr>
          <t xml:space="preserve">
Added .01% to get total to equal 100%</t>
        </r>
      </text>
    </comment>
    <comment ref="B120" authorId="0" shapeId="0" xr:uid="{EE92094F-2890-4DEE-A0E6-912CE535BDE1}">
      <text>
        <r>
          <rPr>
            <b/>
            <sz val="9"/>
            <color indexed="81"/>
            <rFont val="Tahoma"/>
            <family val="2"/>
          </rPr>
          <t>Satre, Michele:</t>
        </r>
        <r>
          <rPr>
            <sz val="9"/>
            <color indexed="81"/>
            <rFont val="Tahoma"/>
            <family val="2"/>
          </rPr>
          <t xml:space="preserve">
Subtracted .01% to get the amounts to total 100%</t>
        </r>
      </text>
    </comment>
    <comment ref="H121" authorId="0" shapeId="0" xr:uid="{F2D1812B-2C3E-40E5-8ABF-7C7750349D21}">
      <text>
        <r>
          <rPr>
            <b/>
            <sz val="9"/>
            <color indexed="81"/>
            <rFont val="Tahoma"/>
            <family val="2"/>
          </rPr>
          <t>Satre, Michele:</t>
        </r>
        <r>
          <rPr>
            <sz val="9"/>
            <color indexed="81"/>
            <rFont val="Tahoma"/>
            <family val="2"/>
          </rPr>
          <t xml:space="preserve">
Subtracted .01% to get total to equal 100%</t>
        </r>
      </text>
    </comment>
  </commentList>
</comments>
</file>

<file path=xl/sharedStrings.xml><?xml version="1.0" encoding="utf-8"?>
<sst xmlns="http://schemas.openxmlformats.org/spreadsheetml/2006/main" count="349" uniqueCount="217">
  <si>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</si>
  <si>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</si>
  <si>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</si>
  <si>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</si>
  <si>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</si>
  <si>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</si>
  <si>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</si>
  <si>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</si>
  <si>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</si>
  <si>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</si>
  <si>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</si>
  <si>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</si>
  <si>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</si>
  <si>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</si>
  <si>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</si>
  <si>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</si>
  <si>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</si>
  <si>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</si>
  <si>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</si>
  <si>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</si>
  <si>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</si>
  <si>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</si>
  <si>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</si>
  <si>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</si>
  <si>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</si>
  <si>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</si>
  <si>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</si>
  <si>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</si>
  <si>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</si>
  <si>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</si>
  <si>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</si>
  <si>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</si>
  <si>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</si>
  <si>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</si>
  <si>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</si>
  <si>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</si>
  <si>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</si>
  <si>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</si>
  <si>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</si>
  <si>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</si>
  <si>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</si>
  <si>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</si>
  <si>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</si>
  <si>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</si>
  <si>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</si>
  <si>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</si>
  <si>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</si>
  <si>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</si>
  <si>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</si>
  <si>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</si>
  <si>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</si>
  <si>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</si>
  <si>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</si>
  <si>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</si>
  <si>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</si>
  <si>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</si>
  <si>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</si>
  <si>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</si>
  <si>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</si>
  <si>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</si>
  <si>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</si>
  <si>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</si>
  <si>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</si>
  <si>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</si>
  <si>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</si>
  <si>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</si>
  <si>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</si>
  <si>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</si>
  <si>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</si>
  <si>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</si>
  <si>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</si>
  <si>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</si>
  <si>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</si>
  <si>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</si>
  <si>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</si>
  <si>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</si>
  <si>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</si>
  <si>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</si>
  <si>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</si>
  <si>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</si>
  <si>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</si>
  <si>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</si>
  <si>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</si>
  <si>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</si>
  <si>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</si>
  <si>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</si>
  <si>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</si>
  <si>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</si>
  <si>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</si>
  <si>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</si>
  <si>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</si>
  <si>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</si>
  <si>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</si>
  <si>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</si>
  <si>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</si>
  <si>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</si>
  <si>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</si>
  <si>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</si>
  <si>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</si>
  <si>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</si>
  <si>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</si>
  <si>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</si>
  <si>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</si>
  <si>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</si>
  <si>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</si>
  <si>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</si>
  <si>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</si>
  <si>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</si>
  <si>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</si>
  <si>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</si>
  <si>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</si>
  <si>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</si>
  <si>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</si>
  <si>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</si>
  <si>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</si>
  <si>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</si>
  <si>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</si>
  <si>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</si>
  <si>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</si>
  <si>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</si>
  <si>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</si>
  <si>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</si>
  <si>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</si>
  <si>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</si>
  <si>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</si>
  <si>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</si>
  <si>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</si>
  <si>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</si>
  <si>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</si>
  <si>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</si>
  <si>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</si>
  <si>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</si>
  <si>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</si>
  <si>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</si>
  <si>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</si>
  <si>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</si>
  <si>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</si>
  <si>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</si>
  <si>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</si>
  <si>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</si>
  <si>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</si>
  <si>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</si>
  <si>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</si>
  <si>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</si>
  <si>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</si>
  <si>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</si>
  <si>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</si>
  <si>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</si>
  <si>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</si>
  <si>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</si>
  <si>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</si>
  <si>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</si>
  <si>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</si>
  <si>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</si>
  <si>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</si>
  <si>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</si>
  <si>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</si>
  <si>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</si>
  <si>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</si>
  <si>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</si>
  <si>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</si>
  <si>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</si>
  <si>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</si>
  <si>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</si>
  <si>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</si>
  <si>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</si>
  <si>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</si>
  <si>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</si>
  <si>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</si>
  <si>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</si>
  <si>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</si>
  <si>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</si>
  <si>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</si>
  <si>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</si>
  <si>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</si>
  <si>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</si>
  <si>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</si>
  <si>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</si>
  <si>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</si>
  <si>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</si>
  <si>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</si>
  <si>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</si>
  <si>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</si>
  <si>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</si>
  <si>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</si>
  <si>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</si>
  <si>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</si>
  <si>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</si>
  <si>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</si>
  <si>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</si>
  <si>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</si>
  <si>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</si>
  <si>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</si>
  <si>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</si>
  <si>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</si>
  <si>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</si>
  <si>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</si>
  <si>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Data is from Pooling Summary Report - Utilization of Production</t>
  </si>
  <si>
    <t>Federal Price</t>
  </si>
  <si>
    <t xml:space="preserve">Instead of the averages in cells </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</si>
  <si>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 - If the amounts don't appear after choosing Yes, open the tab to the right then open this tab again.)</t>
    </r>
  </si>
  <si>
    <t>Note:  Novober 2015 - March 2017 are recalculated figures that reflect percentages that would have existed if rules in effect on Aug. 1, 2017  were in effect in the past</t>
  </si>
  <si>
    <t>The plants are reporting a shortage of bulk milk since summer. 6/12/2025 ms</t>
  </si>
  <si>
    <t>There has been not bulk surplus milk since February 2023</t>
  </si>
  <si>
    <t>October 2025</t>
  </si>
  <si>
    <t>Est October2025</t>
  </si>
  <si>
    <t>October 2024</t>
  </si>
  <si>
    <t>October 2023</t>
  </si>
  <si>
    <t>October 2022</t>
  </si>
  <si>
    <t>Ave:  October 25 Est, 24, 23, 22</t>
  </si>
  <si>
    <t xml:space="preserve">Ave:  October 25 Est, 24, 23, </t>
  </si>
  <si>
    <t>Est October 2025</t>
  </si>
  <si>
    <t>Ave:  October 25 Est, 24, 23</t>
  </si>
  <si>
    <t>October 2024 - August 2024 Delta</t>
  </si>
  <si>
    <t>August 2025</t>
  </si>
  <si>
    <t>Note:  March2015 - August 2017 are recalculated figures that reflect percentages that would have existed if rules in effect on Aug. 1, 2017  were in effect in the past</t>
  </si>
  <si>
    <t>Note:  August 2015 - August 2017 are recalculated figures that reflect percentages that would have existed if rules in effect on Aug. 1, 2017  were in effect in the past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</si>
</sst>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3" fontId="0" fillId="0" borderId="0" xfId="0" applyNumberFormat="1"/>
    <xf numFmtId="179" fontId="1" fillId="2" borderId="0" xfId="0" applyNumberFormat="1" applyFont="1" applyFill="1"/>
    <xf numFmtId="0" fontId="0" fillId="2" borderId="0" xfId="0" quotePrefix="1" applyFill="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66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36"/>
  <sheetViews>
    <sheetView topLeftCell="A111" workbookViewId="0">
      <selection activeCell="A127" sqref="A127:XFD136"/>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135</v>
      </c>
      <c r="E1" s="4"/>
    </row>
    <row r="2" spans="1:5" hidden="1" x14ac:dyDescent="0.25">
      <c r="A2" s="15">
        <v>42278</v>
      </c>
      <c r="B2" s="25">
        <v>0.30533199999999999</v>
      </c>
      <c r="D2" s="216" t="s">
        <v>215</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4">
        <v>44197</v>
      </c>
      <c r="B65" s="25">
        <v>0.11081000000000001</v>
      </c>
      <c r="D65" s="25"/>
      <c r="E65" s="95"/>
      <c r="F65" s="25"/>
    </row>
    <row r="66" spans="1:6" x14ac:dyDescent="0.25">
      <c r="A66" s="14">
        <v>44228</v>
      </c>
      <c r="B66" s="25">
        <v>0.12178899999999999</v>
      </c>
      <c r="D66" s="25"/>
      <c r="E66" s="95"/>
      <c r="F66" s="25"/>
    </row>
    <row r="67" spans="1:6" x14ac:dyDescent="0.25">
      <c r="A67" s="14">
        <v>44256</v>
      </c>
      <c r="B67" s="25">
        <v>0.10184699999999999</v>
      </c>
      <c r="D67" s="25"/>
      <c r="E67" s="95"/>
      <c r="F67" s="25"/>
    </row>
    <row r="68" spans="1:6" x14ac:dyDescent="0.25">
      <c r="A68" s="14">
        <v>44287</v>
      </c>
      <c r="B68" s="25">
        <v>0.105003</v>
      </c>
      <c r="D68" s="25"/>
      <c r="E68" s="95"/>
      <c r="F68" s="25"/>
    </row>
    <row r="69" spans="1:6" x14ac:dyDescent="0.25">
      <c r="A69" s="14">
        <v>44317</v>
      </c>
      <c r="B69" s="25">
        <v>0.118489</v>
      </c>
      <c r="D69" s="25"/>
      <c r="E69" s="95"/>
      <c r="F69" s="25"/>
    </row>
    <row r="70" spans="1:6" x14ac:dyDescent="0.25">
      <c r="A70" s="14">
        <v>44348</v>
      </c>
      <c r="B70" s="25">
        <v>0.12729499999999999</v>
      </c>
      <c r="D70" s="25"/>
      <c r="E70" s="95"/>
      <c r="F70" s="25"/>
    </row>
    <row r="71" spans="1:6" x14ac:dyDescent="0.25">
      <c r="A71" s="14">
        <v>44378</v>
      </c>
      <c r="B71" s="25">
        <v>0.15543499999999999</v>
      </c>
      <c r="D71" s="25"/>
      <c r="E71" s="95"/>
      <c r="F71" s="25"/>
    </row>
    <row r="72" spans="1:6" x14ac:dyDescent="0.25">
      <c r="A72" s="14">
        <v>44409</v>
      </c>
      <c r="B72" s="25">
        <v>0.11372500000000001</v>
      </c>
      <c r="D72" s="25"/>
      <c r="E72" s="95"/>
      <c r="F72" s="25"/>
    </row>
    <row r="73" spans="1:6" x14ac:dyDescent="0.25">
      <c r="A73" s="14">
        <v>44440</v>
      </c>
      <c r="B73" s="25">
        <v>0.106616</v>
      </c>
      <c r="D73" s="25"/>
      <c r="E73" s="95"/>
      <c r="F73" s="25"/>
    </row>
    <row r="74" spans="1:6" x14ac:dyDescent="0.25">
      <c r="A74" s="14">
        <v>44470</v>
      </c>
      <c r="B74" s="25">
        <v>8.9302999999999993E-2</v>
      </c>
      <c r="D74" s="25"/>
      <c r="E74" s="95"/>
      <c r="F74" s="25"/>
    </row>
    <row r="75" spans="1:6" x14ac:dyDescent="0.25">
      <c r="A75" s="14">
        <v>44501</v>
      </c>
      <c r="B75" s="25">
        <v>6.6633999999999999E-2</v>
      </c>
      <c r="D75" s="25"/>
      <c r="E75" s="95"/>
      <c r="F75" s="25"/>
    </row>
    <row r="76" spans="1:6" x14ac:dyDescent="0.25">
      <c r="A76" s="14">
        <v>44531</v>
      </c>
      <c r="B76" s="25">
        <v>0.106876</v>
      </c>
      <c r="D76" s="25"/>
      <c r="E76" s="95"/>
      <c r="F76" s="25"/>
    </row>
    <row r="77" spans="1:6" x14ac:dyDescent="0.25">
      <c r="A77" s="14">
        <v>44562</v>
      </c>
      <c r="B77" s="25">
        <v>0.108279</v>
      </c>
      <c r="D77" s="25"/>
      <c r="E77" s="95"/>
      <c r="F77" s="25"/>
    </row>
    <row r="78" spans="1:6" x14ac:dyDescent="0.25">
      <c r="A78" s="14">
        <v>44593</v>
      </c>
      <c r="B78" s="25">
        <v>0.11074299999999999</v>
      </c>
      <c r="D78" s="25"/>
      <c r="E78" s="95"/>
      <c r="F78" s="25"/>
    </row>
    <row r="79" spans="1:6" x14ac:dyDescent="0.25">
      <c r="A79" s="14">
        <v>44621</v>
      </c>
      <c r="B79" s="25">
        <v>0.12986900000000001</v>
      </c>
      <c r="D79" s="25"/>
      <c r="E79" s="95"/>
      <c r="F79" s="25"/>
    </row>
    <row r="80" spans="1:6" x14ac:dyDescent="0.25">
      <c r="A80" s="14">
        <v>44652</v>
      </c>
      <c r="B80" s="25">
        <v>0.15177599999999999</v>
      </c>
      <c r="D80" s="25"/>
      <c r="E80" s="95"/>
      <c r="F80" s="25"/>
    </row>
    <row r="81" spans="1:6" x14ac:dyDescent="0.25">
      <c r="A81" s="14">
        <v>44682</v>
      </c>
      <c r="B81" s="25">
        <v>0.110897</v>
      </c>
      <c r="D81" s="25"/>
      <c r="E81" s="95"/>
      <c r="F81" s="25"/>
    </row>
    <row r="82" spans="1:6" x14ac:dyDescent="0.25">
      <c r="A82" s="14">
        <v>44713</v>
      </c>
      <c r="B82" s="25">
        <v>0.123853</v>
      </c>
      <c r="D82" s="25"/>
      <c r="E82" s="95"/>
      <c r="F82" s="25"/>
    </row>
    <row r="83" spans="1:6" x14ac:dyDescent="0.25">
      <c r="A83" s="14">
        <v>44743</v>
      </c>
      <c r="B83" s="25">
        <v>0.12698699999999999</v>
      </c>
      <c r="D83" s="25"/>
      <c r="E83" s="95"/>
      <c r="F83" s="25"/>
    </row>
    <row r="84" spans="1:6" x14ac:dyDescent="0.25">
      <c r="A84" s="14">
        <v>44774</v>
      </c>
      <c r="B84" s="25">
        <v>0.12057</v>
      </c>
      <c r="D84" s="25"/>
      <c r="E84" s="95"/>
      <c r="F84" s="25"/>
    </row>
    <row r="85" spans="1:6" x14ac:dyDescent="0.25">
      <c r="A85" s="14">
        <v>44805</v>
      </c>
      <c r="B85" s="25">
        <v>0.14147799999999999</v>
      </c>
      <c r="D85" s="25"/>
      <c r="E85" s="95"/>
      <c r="F85" s="25"/>
    </row>
    <row r="86" spans="1:6" x14ac:dyDescent="0.25">
      <c r="A86" s="14">
        <v>44835</v>
      </c>
      <c r="B86" s="25">
        <v>0.147482</v>
      </c>
      <c r="D86" s="25"/>
      <c r="E86" s="95"/>
      <c r="F86" s="25"/>
    </row>
    <row r="87" spans="1:6" x14ac:dyDescent="0.25">
      <c r="A87" s="14">
        <v>44866</v>
      </c>
      <c r="B87" s="25">
        <v>0</v>
      </c>
      <c r="D87" s="25"/>
      <c r="E87" s="95"/>
      <c r="F87" s="25"/>
    </row>
    <row r="88" spans="1:6" x14ac:dyDescent="0.25">
      <c r="A88" s="14">
        <v>44896</v>
      </c>
      <c r="B88" s="25">
        <v>0.13514499999999999</v>
      </c>
    </row>
    <row r="89" spans="1:6" x14ac:dyDescent="0.25">
      <c r="A89" s="14">
        <v>44927</v>
      </c>
      <c r="B89" s="25">
        <v>0.10367700000000001</v>
      </c>
    </row>
    <row r="90" spans="1:6" x14ac:dyDescent="0.25">
      <c r="A90" s="14">
        <v>44958</v>
      </c>
      <c r="B90" s="25">
        <v>0.12101099999999999</v>
      </c>
    </row>
    <row r="91" spans="1:6" x14ac:dyDescent="0.25">
      <c r="A91" s="14">
        <v>44986</v>
      </c>
      <c r="B91" s="25">
        <v>0.20216300000000001</v>
      </c>
    </row>
    <row r="92" spans="1:6" x14ac:dyDescent="0.25">
      <c r="A92" s="14">
        <v>45017</v>
      </c>
      <c r="B92" s="25">
        <v>0.241227</v>
      </c>
    </row>
    <row r="93" spans="1:6" x14ac:dyDescent="0.25">
      <c r="A93" s="14">
        <v>45047</v>
      </c>
      <c r="B93" s="25">
        <v>0.37820399999999998</v>
      </c>
    </row>
    <row r="94" spans="1:6" x14ac:dyDescent="0.25">
      <c r="A94" s="14">
        <v>45078</v>
      </c>
      <c r="B94" s="25">
        <v>0.31261899999999998</v>
      </c>
    </row>
    <row r="95" spans="1:6" x14ac:dyDescent="0.25">
      <c r="A95" s="14">
        <v>45108</v>
      </c>
      <c r="B95" s="25">
        <v>0.40142899999999998</v>
      </c>
    </row>
    <row r="96" spans="1:6" x14ac:dyDescent="0.25">
      <c r="A96" s="14">
        <v>45139</v>
      </c>
      <c r="B96" s="25">
        <v>0.30302499999999999</v>
      </c>
    </row>
    <row r="97" spans="1:2" x14ac:dyDescent="0.25">
      <c r="A97" s="14">
        <v>45170</v>
      </c>
      <c r="B97" s="25">
        <v>0.205092</v>
      </c>
    </row>
    <row r="98" spans="1:2" x14ac:dyDescent="0.25">
      <c r="A98" s="14">
        <v>45200</v>
      </c>
      <c r="B98" s="25">
        <v>0.31087999999999999</v>
      </c>
    </row>
    <row r="99" spans="1:2" x14ac:dyDescent="0.25">
      <c r="A99" s="14">
        <v>45231</v>
      </c>
      <c r="B99" s="25">
        <v>0.269316</v>
      </c>
    </row>
    <row r="100" spans="1:2" x14ac:dyDescent="0.25">
      <c r="A100" s="14">
        <v>45261</v>
      </c>
      <c r="B100" s="25">
        <v>0.30130299999999999</v>
      </c>
    </row>
    <row r="101" spans="1:2" x14ac:dyDescent="0.25">
      <c r="A101" s="14">
        <v>45292</v>
      </c>
      <c r="B101" s="25">
        <v>0.29108499999999998</v>
      </c>
    </row>
    <row r="102" spans="1:2" x14ac:dyDescent="0.25">
      <c r="A102" s="14">
        <v>45323</v>
      </c>
      <c r="B102" s="25">
        <v>0.29903400000000002</v>
      </c>
    </row>
    <row r="103" spans="1:2" x14ac:dyDescent="0.25">
      <c r="A103" s="14">
        <v>45352</v>
      </c>
      <c r="B103" s="25">
        <v>0.45419599999999999</v>
      </c>
    </row>
    <row r="104" spans="1:2" x14ac:dyDescent="0.25">
      <c r="A104" s="14">
        <v>45383</v>
      </c>
      <c r="B104" s="25">
        <v>0.34164499999999998</v>
      </c>
    </row>
    <row r="105" spans="1:2" x14ac:dyDescent="0.25">
      <c r="A105" s="14">
        <v>45413</v>
      </c>
      <c r="B105" s="25">
        <v>0.31060199999999999</v>
      </c>
    </row>
    <row r="106" spans="1:2" x14ac:dyDescent="0.25">
      <c r="A106" s="14">
        <v>45444</v>
      </c>
      <c r="B106" s="25">
        <v>0.30881900000000001</v>
      </c>
    </row>
    <row r="107" spans="1:2" x14ac:dyDescent="0.25">
      <c r="A107" s="14">
        <v>45474</v>
      </c>
      <c r="B107" s="25">
        <v>0.31423099999999998</v>
      </c>
    </row>
    <row r="108" spans="1:2" x14ac:dyDescent="0.25">
      <c r="A108" s="14">
        <v>45505</v>
      </c>
      <c r="B108" s="25">
        <v>0.38170900000000002</v>
      </c>
    </row>
    <row r="109" spans="1:2" x14ac:dyDescent="0.25">
      <c r="A109" s="14">
        <v>45536</v>
      </c>
      <c r="B109" s="25">
        <v>0.41731499999999999</v>
      </c>
    </row>
    <row r="110" spans="1:2" x14ac:dyDescent="0.25">
      <c r="A110" s="14">
        <v>45566</v>
      </c>
      <c r="B110" s="25">
        <v>0.41150399999999998</v>
      </c>
    </row>
    <row r="111" spans="1:2" x14ac:dyDescent="0.25">
      <c r="A111" s="14">
        <v>45597</v>
      </c>
      <c r="B111" s="25">
        <v>0.48625000000000002</v>
      </c>
    </row>
    <row r="112" spans="1:2" x14ac:dyDescent="0.25">
      <c r="A112" s="14">
        <v>45627</v>
      </c>
      <c r="B112" s="25">
        <v>0.39985799999999999</v>
      </c>
    </row>
    <row r="113" spans="1:2" x14ac:dyDescent="0.25">
      <c r="A113" s="14">
        <v>45658</v>
      </c>
      <c r="B113" s="25">
        <v>0.41091699999999998</v>
      </c>
    </row>
    <row r="114" spans="1:2" x14ac:dyDescent="0.25">
      <c r="A114" s="14">
        <v>45689</v>
      </c>
      <c r="B114" s="25">
        <v>0.48166799999999999</v>
      </c>
    </row>
    <row r="115" spans="1:2" x14ac:dyDescent="0.25">
      <c r="A115" s="14">
        <v>45717</v>
      </c>
      <c r="B115" s="25">
        <v>0.47711100000000001</v>
      </c>
    </row>
    <row r="116" spans="1:2" x14ac:dyDescent="0.25">
      <c r="A116" s="14">
        <v>45748</v>
      </c>
      <c r="B116" s="25">
        <v>0.45650600000000002</v>
      </c>
    </row>
    <row r="117" spans="1:2" x14ac:dyDescent="0.25">
      <c r="A117" s="14">
        <v>45778</v>
      </c>
      <c r="B117" s="25">
        <v>0.55486899999999995</v>
      </c>
    </row>
    <row r="118" spans="1:2" x14ac:dyDescent="0.25">
      <c r="A118" s="14">
        <v>45809</v>
      </c>
      <c r="B118" s="25">
        <v>0.33561200000000002</v>
      </c>
    </row>
    <row r="119" spans="1:2" x14ac:dyDescent="0.25">
      <c r="A119" s="14">
        <v>45839</v>
      </c>
      <c r="B119" s="25">
        <v>0.40385399999999999</v>
      </c>
    </row>
    <row r="120" spans="1:2" x14ac:dyDescent="0.25">
      <c r="A120" s="14">
        <v>45870</v>
      </c>
      <c r="B120" s="25">
        <v>0.46520499999999998</v>
      </c>
    </row>
    <row r="121" spans="1:2" x14ac:dyDescent="0.25">
      <c r="A121" s="14"/>
      <c r="B121" s="25"/>
    </row>
    <row r="122" spans="1:2" x14ac:dyDescent="0.25">
      <c r="A122" s="14"/>
      <c r="B122" s="25"/>
    </row>
    <row r="123" spans="1:2" x14ac:dyDescent="0.25">
      <c r="A123" s="14"/>
      <c r="B123" s="25"/>
    </row>
    <row r="124" spans="1:2" ht="75" x14ac:dyDescent="0.25">
      <c r="A124" s="27" t="str">
        <f>Pooling_Month</f>
        <v>October 2025</v>
      </c>
      <c r="B124" s="20" t="s">
        <v>136</v>
      </c>
    </row>
    <row r="125" spans="1:2" x14ac:dyDescent="0.25">
      <c r="A125" s="31" t="s">
        <v>60</v>
      </c>
      <c r="B125" s="260">
        <f>B130</f>
        <v>0.49499999999999994</v>
      </c>
    </row>
    <row r="126" spans="1:2" ht="13.5" customHeight="1" x14ac:dyDescent="0.25"/>
    <row r="127" spans="1:2" hidden="1" x14ac:dyDescent="0.25"/>
    <row r="128" spans="1:2" ht="30" hidden="1" x14ac:dyDescent="0.25">
      <c r="A128" s="40" t="s">
        <v>213</v>
      </c>
      <c r="B128" s="95">
        <f>B110-B108</f>
        <v>2.979499999999996E-2</v>
      </c>
    </row>
    <row r="129" spans="1:17" hidden="1" x14ac:dyDescent="0.25">
      <c r="A129" s="93" t="s">
        <v>214</v>
      </c>
      <c r="B129" s="95">
        <f>B120</f>
        <v>0.46520499999999998</v>
      </c>
      <c r="J129" t="s">
        <v>195</v>
      </c>
    </row>
    <row r="130" spans="1:17" hidden="1" x14ac:dyDescent="0.25">
      <c r="A130" s="269" t="s">
        <v>211</v>
      </c>
      <c r="B130" s="95">
        <f>SUM(B128:B129)</f>
        <v>0.49499999999999994</v>
      </c>
      <c r="C130" s="3"/>
      <c r="E130" s="3"/>
      <c r="F130" s="3"/>
      <c r="G130" s="3"/>
      <c r="H130" s="3"/>
      <c r="I130" s="3"/>
      <c r="J130" s="3"/>
      <c r="K130" s="3"/>
      <c r="L130" s="3"/>
      <c r="M130" s="3"/>
      <c r="N130" s="3"/>
      <c r="O130" s="3"/>
      <c r="P130" s="3"/>
      <c r="Q130" s="3"/>
    </row>
    <row r="131" spans="1:17" hidden="1" x14ac:dyDescent="0.25">
      <c r="A131" s="92" t="s">
        <v>206</v>
      </c>
      <c r="B131" s="95">
        <f>B110</f>
        <v>0.41150399999999998</v>
      </c>
      <c r="C131" s="3"/>
      <c r="E131" s="3"/>
      <c r="F131" s="3"/>
      <c r="G131" s="3"/>
      <c r="H131" s="3"/>
      <c r="I131" s="3"/>
      <c r="J131" s="3"/>
      <c r="K131" s="3"/>
      <c r="L131" s="3"/>
      <c r="M131" s="3"/>
      <c r="N131" s="3"/>
      <c r="O131" s="3"/>
      <c r="P131" s="3"/>
      <c r="Q131" s="3"/>
    </row>
    <row r="132" spans="1:17" hidden="1" x14ac:dyDescent="0.25">
      <c r="A132" t="s">
        <v>83</v>
      </c>
      <c r="B132" s="25">
        <f>AVERAGE(B130:B131)</f>
        <v>0.45325199999999999</v>
      </c>
    </row>
    <row r="133" spans="1:17" hidden="1" x14ac:dyDescent="0.25"/>
    <row r="134" spans="1:17" hidden="1" x14ac:dyDescent="0.25">
      <c r="A134" s="92" t="s">
        <v>207</v>
      </c>
      <c r="B134" s="25">
        <f>B98</f>
        <v>0.31087999999999999</v>
      </c>
    </row>
    <row r="135" spans="1:17" hidden="1" x14ac:dyDescent="0.25">
      <c r="A135" t="s">
        <v>85</v>
      </c>
      <c r="B135" s="25">
        <f>AVERAGE(B130:B131,B134)</f>
        <v>0.40579466666666669</v>
      </c>
    </row>
    <row r="136" spans="1:17" hidden="1" x14ac:dyDescent="0.25"/>
  </sheetData>
  <sheetProtection algorithmName="SHA-512" hashValue="DII0Ocl9JlqXGQrNBI3HKhQiIsE+VO72v7GQ3Y/WGLMq1wi1Hw0hSb+igQ+smHuLcgNj7uUwoI4K9mE+Ltyu4Q==" saltValue="tAWwnl9KxlQLpp3MQrPdpw=="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9" tint="0.39997558519241921"/>
  </sheetPr>
  <dimension ref="A1:N165"/>
  <sheetViews>
    <sheetView topLeftCell="A134" workbookViewId="0">
      <selection activeCell="A150" sqref="A150:XFD160"/>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140</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2" x14ac:dyDescent="0.25">
      <c r="A129" s="14">
        <v>45444</v>
      </c>
      <c r="B129" s="25">
        <v>0</v>
      </c>
    </row>
    <row r="130" spans="1:2" x14ac:dyDescent="0.25">
      <c r="A130" s="14">
        <v>45474</v>
      </c>
      <c r="B130" s="25">
        <v>0</v>
      </c>
    </row>
    <row r="131" spans="1:2" x14ac:dyDescent="0.25">
      <c r="A131" s="14">
        <v>45505</v>
      </c>
      <c r="B131" s="25">
        <v>0</v>
      </c>
    </row>
    <row r="132" spans="1:2" x14ac:dyDescent="0.25">
      <c r="A132" s="14">
        <v>45536</v>
      </c>
      <c r="B132" s="25">
        <v>0</v>
      </c>
    </row>
    <row r="133" spans="1:2" x14ac:dyDescent="0.25">
      <c r="A133" s="14">
        <v>45566</v>
      </c>
      <c r="B133" s="25">
        <v>0</v>
      </c>
    </row>
    <row r="134" spans="1:2" x14ac:dyDescent="0.25">
      <c r="A134" s="14">
        <v>45597</v>
      </c>
      <c r="B134" s="25">
        <v>0</v>
      </c>
    </row>
    <row r="135" spans="1:2" x14ac:dyDescent="0.25">
      <c r="A135" s="14">
        <v>45627</v>
      </c>
      <c r="B135" s="25">
        <v>0</v>
      </c>
    </row>
    <row r="136" spans="1:2" x14ac:dyDescent="0.25">
      <c r="A136" s="14">
        <v>45658</v>
      </c>
      <c r="B136" s="25">
        <v>0</v>
      </c>
    </row>
    <row r="137" spans="1:2" x14ac:dyDescent="0.25">
      <c r="A137" s="14">
        <v>45689</v>
      </c>
      <c r="B137" s="25">
        <v>0</v>
      </c>
    </row>
    <row r="138" spans="1:2" x14ac:dyDescent="0.25">
      <c r="A138" s="14">
        <v>45717</v>
      </c>
      <c r="B138" s="25">
        <v>0</v>
      </c>
    </row>
    <row r="139" spans="1:2" x14ac:dyDescent="0.25">
      <c r="A139" s="14">
        <v>45748</v>
      </c>
      <c r="B139" s="25">
        <v>0</v>
      </c>
    </row>
    <row r="140" spans="1:2" x14ac:dyDescent="0.25">
      <c r="A140" s="14">
        <v>45778</v>
      </c>
      <c r="B140" s="25">
        <v>0</v>
      </c>
    </row>
    <row r="141" spans="1:2" x14ac:dyDescent="0.25">
      <c r="A141" s="14">
        <v>45809</v>
      </c>
      <c r="B141" s="25">
        <v>0</v>
      </c>
    </row>
    <row r="142" spans="1:2" x14ac:dyDescent="0.25">
      <c r="A142" s="14">
        <v>45839</v>
      </c>
      <c r="B142" s="25">
        <v>0</v>
      </c>
    </row>
    <row r="143" spans="1:2" x14ac:dyDescent="0.25">
      <c r="A143" s="14">
        <v>45870</v>
      </c>
      <c r="B143" s="25">
        <v>0</v>
      </c>
    </row>
    <row r="144" spans="1:2" x14ac:dyDescent="0.25">
      <c r="A144" s="14"/>
      <c r="B144" s="25"/>
    </row>
    <row r="145" spans="1:3" x14ac:dyDescent="0.25">
      <c r="A145" s="14"/>
      <c r="B145" s="25"/>
    </row>
    <row r="146" spans="1:3" x14ac:dyDescent="0.25">
      <c r="A146" s="14"/>
      <c r="B146" s="25"/>
    </row>
    <row r="147" spans="1:3" ht="75" x14ac:dyDescent="0.25">
      <c r="A147" s="27" t="str">
        <f>Pooling_Month</f>
        <v>October 2025</v>
      </c>
      <c r="B147" s="20" t="s">
        <v>139</v>
      </c>
    </row>
    <row r="148" spans="1:3" x14ac:dyDescent="0.25">
      <c r="A148" s="31" t="s">
        <v>60</v>
      </c>
      <c r="B148" s="32">
        <f>B151</f>
        <v>0</v>
      </c>
    </row>
    <row r="149" spans="1:3" ht="15.75" customHeight="1" x14ac:dyDescent="0.25"/>
    <row r="150" spans="1:3" ht="14.25" hidden="1" customHeight="1" x14ac:dyDescent="0.25">
      <c r="C150" t="s">
        <v>196</v>
      </c>
    </row>
    <row r="151" spans="1:3" ht="30" hidden="1" x14ac:dyDescent="0.25">
      <c r="A151" s="40" t="s">
        <v>213</v>
      </c>
      <c r="B151" s="95">
        <f>B133-B131</f>
        <v>0</v>
      </c>
    </row>
    <row r="152" spans="1:3" hidden="1" x14ac:dyDescent="0.25">
      <c r="A152" s="93" t="s">
        <v>214</v>
      </c>
      <c r="B152" s="95">
        <f>B143</f>
        <v>0</v>
      </c>
    </row>
    <row r="153" spans="1:3" hidden="1" x14ac:dyDescent="0.25">
      <c r="A153" s="91" t="s">
        <v>211</v>
      </c>
      <c r="B153" s="95">
        <f>SUM(B151:B152)</f>
        <v>0</v>
      </c>
      <c r="C153" t="s">
        <v>203</v>
      </c>
    </row>
    <row r="154" spans="1:3" hidden="1" x14ac:dyDescent="0.25">
      <c r="A154" s="92" t="s">
        <v>206</v>
      </c>
      <c r="B154" s="95">
        <f>B133</f>
        <v>0</v>
      </c>
      <c r="C154" t="s">
        <v>202</v>
      </c>
    </row>
    <row r="155" spans="1:3" hidden="1" x14ac:dyDescent="0.25">
      <c r="A155" t="s">
        <v>83</v>
      </c>
      <c r="B155" s="95">
        <f>AVERAGE(B153:B154)</f>
        <v>0</v>
      </c>
    </row>
    <row r="156" spans="1:3" hidden="1" x14ac:dyDescent="0.25">
      <c r="B156" s="95"/>
    </row>
    <row r="157" spans="1:3" hidden="1" x14ac:dyDescent="0.25">
      <c r="A157" s="92" t="s">
        <v>207</v>
      </c>
      <c r="B157" s="95">
        <f>B121</f>
        <v>0</v>
      </c>
    </row>
    <row r="158" spans="1:3" hidden="1" x14ac:dyDescent="0.25">
      <c r="A158" s="91" t="s">
        <v>208</v>
      </c>
      <c r="B158" s="25">
        <f>B109</f>
        <v>1.9026999999999999E-2</v>
      </c>
    </row>
    <row r="159" spans="1:3" ht="30" hidden="1" x14ac:dyDescent="0.25">
      <c r="A159" s="40" t="s">
        <v>209</v>
      </c>
      <c r="B159" s="25">
        <f>AVERAGE(B153,B154,B157,B158)</f>
        <v>4.7567499999999997E-3</v>
      </c>
    </row>
    <row r="160" spans="1:3" hidden="1" x14ac:dyDescent="0.25">
      <c r="A160" s="40" t="s">
        <v>212</v>
      </c>
      <c r="B160" s="25">
        <f>AVERAGE(B153,B154,B157)</f>
        <v>0</v>
      </c>
    </row>
    <row r="165" spans="4:4" x14ac:dyDescent="0.25">
      <c r="D165" s="218"/>
    </row>
  </sheetData>
  <sheetProtection algorithmName="SHA-512" hashValue="78Sf8uf1NytHnIWvk8IKMbTepm+K0ENfkudUvqLov3BC37jVlHWTjpwIfaftpos9eInXMjXP2geH6vAVhEO7iw==" saltValue="rsJcudJDtSvyAXjg0p5g8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9" tint="0.59999389629810485"/>
    <pageSetUpPr fitToPage="1"/>
  </sheetPr>
  <dimension ref="A1:I51"/>
  <sheetViews>
    <sheetView tabSelected="1" topLeftCell="A4" zoomScale="75" zoomScaleNormal="75" workbookViewId="0">
      <selection activeCell="M15" sqref="M15:M16"/>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6" t="s">
        <v>59</v>
      </c>
      <c r="B1" s="276"/>
      <c r="C1" s="276"/>
      <c r="D1" s="276"/>
      <c r="E1" s="276"/>
      <c r="F1" s="276"/>
      <c r="G1" s="276"/>
      <c r="H1" s="276"/>
      <c r="I1" s="276"/>
    </row>
    <row r="2" spans="1:9" ht="23.25" x14ac:dyDescent="0.35">
      <c r="A2" s="275" t="str">
        <f>'Quota Price Estimator'!B4</f>
        <v>October 2025</v>
      </c>
      <c r="B2" s="275"/>
      <c r="C2" s="275"/>
      <c r="D2" s="275"/>
      <c r="E2" s="275"/>
      <c r="F2" s="275"/>
      <c r="G2" s="275"/>
      <c r="H2" s="275"/>
      <c r="I2" s="275"/>
    </row>
    <row r="3" spans="1:9" ht="19.5" thickBot="1" x14ac:dyDescent="0.35">
      <c r="A3" s="26"/>
      <c r="B3" s="6"/>
      <c r="C3" s="6"/>
      <c r="D3" s="6"/>
      <c r="E3" s="6"/>
      <c r="F3" s="6"/>
      <c r="G3" s="6"/>
      <c r="H3" s="6"/>
      <c r="I3" s="6"/>
    </row>
    <row r="4" spans="1:9" ht="215.1" customHeight="1" thickBot="1" x14ac:dyDescent="0.35">
      <c r="A4" s="270" t="s">
        <v>82</v>
      </c>
      <c r="B4" s="271"/>
      <c r="C4" s="271"/>
      <c r="D4" s="271"/>
      <c r="E4" s="271"/>
      <c r="F4" s="271"/>
      <c r="G4" s="271"/>
      <c r="H4" s="271"/>
      <c r="I4" s="272"/>
    </row>
    <row r="5" spans="1:9" ht="19.5" customHeight="1" thickBot="1" x14ac:dyDescent="0.35">
      <c r="A5" s="26"/>
      <c r="B5" s="6"/>
      <c r="C5" s="6"/>
      <c r="D5" s="6"/>
      <c r="E5" s="6"/>
      <c r="F5" s="6"/>
      <c r="G5" s="6"/>
      <c r="H5" s="6"/>
      <c r="I5" s="6"/>
    </row>
    <row r="6" spans="1:9" ht="72.75" customHeight="1" thickBot="1" x14ac:dyDescent="0.4">
      <c r="A6" s="273" t="s">
        <v>200</v>
      </c>
      <c r="B6" s="274"/>
      <c r="C6" s="274"/>
      <c r="D6" s="274"/>
      <c r="E6" s="274"/>
      <c r="F6" s="274"/>
      <c r="G6" s="274"/>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19.261057296050708</v>
      </c>
      <c r="C9" s="81">
        <f>QuotaButterfatPrice</f>
        <v>2.3692291799999996</v>
      </c>
      <c r="D9" s="82">
        <f>QuotaSkimPrice</f>
        <v>0.11366585664301253</v>
      </c>
      <c r="E9" s="82"/>
      <c r="F9" s="83"/>
      <c r="G9" s="84">
        <f>(QuotaButterfatPrice*PoolButterfatPercent*100)+(QuotaSkimPrice*(100-PoolButterfatPercent*100))</f>
        <v>20.662213232520067</v>
      </c>
      <c r="H9" s="1"/>
      <c r="I9" s="1"/>
    </row>
    <row r="10" spans="1:9" ht="15.75" x14ac:dyDescent="0.25">
      <c r="A10" s="85" t="s">
        <v>5</v>
      </c>
      <c r="B10" s="222">
        <f>ExcessButterfatPrice*3.5+ExcessSkimPrice*96.5</f>
        <v>17.761057296050708</v>
      </c>
      <c r="C10" s="86">
        <f>ExcessButterfatPrice</f>
        <v>2.3542291799999995</v>
      </c>
      <c r="D10" s="87">
        <f>ExcessSkimPrice</f>
        <v>9.8665856643012528E-2</v>
      </c>
      <c r="E10" s="87"/>
      <c r="F10" s="88"/>
      <c r="G10" s="89">
        <f>(ExcessButterfatPrice*PoolButterfatPercent*100)+(ExcessSkimPrice*(100-PoolButterfatPercent*100))</f>
        <v>19.162213232520067</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86</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99</v>
      </c>
      <c r="B25" s="114"/>
      <c r="F25" s="102" t="s">
        <v>111</v>
      </c>
      <c r="G25" s="103"/>
    </row>
    <row r="26" spans="1:9" ht="15.75" x14ac:dyDescent="0.25">
      <c r="A26" t="s">
        <v>112</v>
      </c>
      <c r="B26" s="115"/>
      <c r="F26" s="104"/>
      <c r="G26" s="105"/>
    </row>
    <row r="27" spans="1:9" ht="15.75" x14ac:dyDescent="0.25">
      <c r="F27" s="104" t="s">
        <v>98</v>
      </c>
      <c r="G27" s="106">
        <f>G20</f>
        <v>0</v>
      </c>
    </row>
    <row r="28" spans="1:9" ht="16.5" customHeight="1" x14ac:dyDescent="0.25">
      <c r="A28" t="s">
        <v>87</v>
      </c>
      <c r="B28" s="114"/>
      <c r="F28" s="104" t="s">
        <v>100</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88</v>
      </c>
      <c r="B34" s="115"/>
      <c r="F34" s="104" t="s">
        <v>101</v>
      </c>
      <c r="G34" s="106">
        <f>-ROUND(($G$15/100)*B28+B34+B35,2)</f>
        <v>0</v>
      </c>
    </row>
    <row r="35" spans="1:7" ht="15.75" x14ac:dyDescent="0.25">
      <c r="A35" t="s">
        <v>89</v>
      </c>
      <c r="B35" s="115"/>
      <c r="F35" s="104" t="s">
        <v>102</v>
      </c>
      <c r="G35" s="106">
        <f>-ROUND(($G$15/100)*B37,2)</f>
        <v>0</v>
      </c>
    </row>
    <row r="36" spans="1:7" ht="15.75" x14ac:dyDescent="0.25">
      <c r="F36" s="104" t="s">
        <v>103</v>
      </c>
      <c r="G36" s="106">
        <f>-ROUND(IF(($G$15/100)*B39&gt;B41,B41,IF(($G$15/100)*B39&lt;B40,B40,($G$15/100)*B39)),2)</f>
        <v>-50</v>
      </c>
    </row>
    <row r="37" spans="1:7" ht="15.75" x14ac:dyDescent="0.25">
      <c r="A37" t="s">
        <v>90</v>
      </c>
      <c r="B37" s="254">
        <v>0.02</v>
      </c>
      <c r="F37" s="104" t="s">
        <v>93</v>
      </c>
      <c r="G37" s="106">
        <f>-ROUND(($G$15/100)*B43,2)</f>
        <v>0</v>
      </c>
    </row>
    <row r="38" spans="1:7" ht="15.75" x14ac:dyDescent="0.25">
      <c r="B38" s="242"/>
      <c r="F38" s="104" t="s">
        <v>104</v>
      </c>
      <c r="G38" s="106">
        <f>-ROUND(($G$15/100)*B45+B46,2)</f>
        <v>0</v>
      </c>
    </row>
    <row r="39" spans="1:7" ht="15.75" x14ac:dyDescent="0.25">
      <c r="A39" s="40" t="s">
        <v>92</v>
      </c>
      <c r="B39" s="241">
        <v>0.14000000000000001</v>
      </c>
      <c r="F39" s="107" t="s">
        <v>105</v>
      </c>
      <c r="G39" s="108">
        <f>-ROUND(($G$15/100)*B48+B49,2)</f>
        <v>0</v>
      </c>
    </row>
    <row r="40" spans="1:7" ht="15.75" x14ac:dyDescent="0.25">
      <c r="A40" t="s">
        <v>91</v>
      </c>
      <c r="B40" s="243">
        <v>50</v>
      </c>
      <c r="F40" s="102" t="s">
        <v>106</v>
      </c>
      <c r="G40" s="109">
        <f>SUM(G27:G39)</f>
        <v>-50</v>
      </c>
    </row>
    <row r="41" spans="1:7" ht="15.75" x14ac:dyDescent="0.25">
      <c r="A41" t="s">
        <v>91</v>
      </c>
      <c r="B41" s="243">
        <v>1050</v>
      </c>
      <c r="F41" s="107" t="s">
        <v>107</v>
      </c>
      <c r="G41" s="108">
        <f>-B51</f>
        <v>0</v>
      </c>
    </row>
    <row r="42" spans="1:7" ht="15.75" x14ac:dyDescent="0.25">
      <c r="B42" s="242"/>
      <c r="F42" s="104" t="s">
        <v>108</v>
      </c>
      <c r="G42" s="106">
        <f>SUM(G40:G41)</f>
        <v>-50</v>
      </c>
    </row>
    <row r="43" spans="1:7" x14ac:dyDescent="0.25">
      <c r="A43" t="s">
        <v>94</v>
      </c>
      <c r="B43" s="241">
        <v>0.15</v>
      </c>
      <c r="F43" s="110"/>
      <c r="G43" s="111"/>
    </row>
    <row r="44" spans="1:7" x14ac:dyDescent="0.25">
      <c r="F44" s="110"/>
      <c r="G44" s="111"/>
    </row>
    <row r="45" spans="1:7" x14ac:dyDescent="0.25">
      <c r="A45" t="s">
        <v>95</v>
      </c>
      <c r="B45" s="114"/>
      <c r="F45" s="112" t="s">
        <v>110</v>
      </c>
      <c r="G45" s="113" t="str">
        <f>IF(G15=0,"",ROUND(G40/(G15/100),4))</f>
        <v/>
      </c>
    </row>
    <row r="46" spans="1:7" x14ac:dyDescent="0.25">
      <c r="A46" t="s">
        <v>96</v>
      </c>
      <c r="B46" s="115"/>
    </row>
    <row r="48" spans="1:7" x14ac:dyDescent="0.25">
      <c r="A48" t="s">
        <v>113</v>
      </c>
      <c r="B48" s="114"/>
    </row>
    <row r="49" spans="1:2" x14ac:dyDescent="0.25">
      <c r="A49" t="s">
        <v>97</v>
      </c>
      <c r="B49" s="115"/>
    </row>
    <row r="51" spans="1:2" x14ac:dyDescent="0.25">
      <c r="A51" t="s">
        <v>109</v>
      </c>
      <c r="B51" s="115"/>
    </row>
  </sheetData>
  <sheetProtection algorithmName="SHA-512" hashValue="Fzz5gPRudVCezDeIGG/KKXTym8wdyg2jn6I5BFF7Bpf75sE+ASD/L5+sh6H2lmNVLKR0mymI4iHhJo3t9X70yA==" saltValue="SByfEHMu1rc20b8cOzLQ4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39997558519241921"/>
    <pageSetUpPr fitToPage="1"/>
  </sheetPr>
  <dimension ref="A1:P91"/>
  <sheetViews>
    <sheetView topLeftCell="A9" workbookViewId="0">
      <selection activeCell="F7" sqref="F7"/>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7" customWidth="1"/>
    <col min="15" max="15" width="13.5703125" style="237" customWidth="1"/>
    <col min="16" max="16" width="13.85546875" style="237" customWidth="1"/>
    <col min="17" max="16384" width="9.140625" style="1"/>
  </cols>
  <sheetData>
    <row r="1" spans="1:13" ht="21" x14ac:dyDescent="0.35">
      <c r="A1" s="9" t="s">
        <v>191</v>
      </c>
      <c r="B1" s="7"/>
      <c r="C1" s="7"/>
      <c r="D1" s="7"/>
      <c r="E1" s="7"/>
      <c r="F1" s="7"/>
      <c r="G1" s="7"/>
      <c r="H1" s="7"/>
      <c r="I1" s="7"/>
    </row>
    <row r="2" spans="1:13" ht="18.75" x14ac:dyDescent="0.3">
      <c r="A2" s="258" t="str">
        <f>Pooling_Month</f>
        <v>October 2025</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59" t="s">
        <v>204</v>
      </c>
      <c r="C4" s="123"/>
      <c r="D4" s="123"/>
      <c r="E4" s="123"/>
      <c r="F4" s="123"/>
      <c r="G4" s="123"/>
      <c r="H4" s="123"/>
      <c r="I4" s="124"/>
    </row>
    <row r="5" spans="1:13" ht="15.75" x14ac:dyDescent="0.25">
      <c r="A5" s="125" t="s">
        <v>1</v>
      </c>
      <c r="B5" s="126">
        <f>DAY(DATE(YEAR(Pooling_Month),MONTH(Pooling_Month)+1,0))</f>
        <v>31</v>
      </c>
      <c r="C5" s="126"/>
      <c r="D5" s="126"/>
      <c r="E5" s="126"/>
      <c r="F5" s="126"/>
      <c r="G5" s="126"/>
      <c r="H5" s="126"/>
      <c r="I5" s="127"/>
    </row>
    <row r="6" spans="1:13" ht="15.75" x14ac:dyDescent="0.25">
      <c r="A6" s="128" t="s">
        <v>50</v>
      </c>
      <c r="B6" s="129">
        <f>PoolDailyProd</f>
        <v>496170</v>
      </c>
      <c r="C6" s="126"/>
      <c r="D6" s="126"/>
      <c r="E6" s="126"/>
      <c r="F6" s="126"/>
      <c r="G6" s="126"/>
      <c r="H6" s="126"/>
      <c r="I6" s="127"/>
    </row>
    <row r="7" spans="1:13" ht="15.75" x14ac:dyDescent="0.25">
      <c r="A7" s="128" t="s">
        <v>15</v>
      </c>
      <c r="B7" s="130">
        <f>PoolButterfatPercent</f>
        <v>4.1211999999999999E-2</v>
      </c>
      <c r="C7" s="126"/>
      <c r="D7" s="126"/>
      <c r="E7" s="126"/>
      <c r="F7" s="126"/>
      <c r="G7" s="126"/>
      <c r="H7" s="126"/>
      <c r="I7" s="127"/>
    </row>
    <row r="8" spans="1:13" ht="15.75" x14ac:dyDescent="0.25">
      <c r="A8" s="128" t="s">
        <v>51</v>
      </c>
      <c r="B8" s="130">
        <f>PoolOverQuotaProdPerc</f>
        <v>9.1320000000000012E-3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15240808.24236</v>
      </c>
      <c r="C11" s="135">
        <f>C13-C12</f>
        <v>628104.18928414024</v>
      </c>
      <c r="D11" s="135">
        <f>D13-D12</f>
        <v>14612704.053075859</v>
      </c>
      <c r="E11" s="135"/>
      <c r="F11" s="126"/>
      <c r="G11" s="126"/>
      <c r="H11" s="126"/>
      <c r="I11" s="127"/>
    </row>
    <row r="12" spans="1:13" ht="15.75" x14ac:dyDescent="0.25">
      <c r="A12" s="136" t="s">
        <v>18</v>
      </c>
      <c r="B12" s="137">
        <f>B13*PoolOverQuotaProdPerc</f>
        <v>140461.75764000003</v>
      </c>
      <c r="C12" s="137">
        <f>B12*PoolButterfatPercent</f>
        <v>5788.709955859681</v>
      </c>
      <c r="D12" s="137">
        <f>B12-C12</f>
        <v>134673.04768414036</v>
      </c>
      <c r="E12" s="135"/>
      <c r="F12" s="126"/>
      <c r="G12" s="126"/>
      <c r="H12" s="126"/>
      <c r="I12" s="127"/>
    </row>
    <row r="13" spans="1:13" ht="15.75" x14ac:dyDescent="0.25">
      <c r="A13" s="134" t="s">
        <v>19</v>
      </c>
      <c r="B13" s="135">
        <f>PoolDailyProd*DaysPerMonth</f>
        <v>15381270</v>
      </c>
      <c r="C13" s="135">
        <f>B13*PoolButterfatPercent</f>
        <v>633892.89923999994</v>
      </c>
      <c r="D13" s="135">
        <f>B13-C13</f>
        <v>14747377.10076</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13272537.763556855</v>
      </c>
      <c r="C16" s="135">
        <f>Butterfat_Production*EstClsIBFUtPerc</f>
        <v>309593.29198881594</v>
      </c>
      <c r="D16" s="135">
        <f>Skim_Production*EstClsISkimUtPerc</f>
        <v>12962944.471568039</v>
      </c>
      <c r="E16" s="140"/>
      <c r="F16" s="126"/>
      <c r="G16" s="141" t="s">
        <v>21</v>
      </c>
      <c r="H16" s="142">
        <f>EstClsIBFUtPerc</f>
        <v>0.48839999999999995</v>
      </c>
      <c r="I16" s="143">
        <f>EstClsISkimUtPerc</f>
        <v>0.87899999999999989</v>
      </c>
      <c r="M16" s="5"/>
    </row>
    <row r="17" spans="1:14" ht="15.75" x14ac:dyDescent="0.25">
      <c r="A17" s="134" t="s">
        <v>22</v>
      </c>
      <c r="B17" s="135">
        <f>SUM(C17:D17)</f>
        <v>16581.612005784045</v>
      </c>
      <c r="C17" s="135">
        <f>Butterfat_Production*EstClsIIBFUtPerc</f>
        <v>108015.350030496</v>
      </c>
      <c r="D17" s="135">
        <f>Skim_Production*EstClsIISkimUTPerc</f>
        <v>-91433.738024711958</v>
      </c>
      <c r="E17" s="140"/>
      <c r="F17" s="126"/>
      <c r="G17" s="141" t="s">
        <v>22</v>
      </c>
      <c r="H17" s="142">
        <f>EstClsIIBFUtPerc</f>
        <v>0.17040000000000002</v>
      </c>
      <c r="I17" s="143">
        <f>EstClsIISkimUTPerc</f>
        <v>-6.1999999999999972E-3</v>
      </c>
      <c r="M17" s="5"/>
    </row>
    <row r="18" spans="1:14" ht="15.75" x14ac:dyDescent="0.25">
      <c r="A18" s="136" t="s">
        <v>23</v>
      </c>
      <c r="B18" s="137">
        <f>SUM(C18:D18)</f>
        <v>2092150.6244373601</v>
      </c>
      <c r="C18" s="137">
        <f>Butterfat_Production*EstClsIIIBFUtPerc</f>
        <v>216284.25722068796</v>
      </c>
      <c r="D18" s="137">
        <f>Skim_Production*EstClsIIISkimUtPerc</f>
        <v>1875866.367216672</v>
      </c>
      <c r="E18" s="140"/>
      <c r="F18" s="126"/>
      <c r="G18" s="144" t="s">
        <v>23</v>
      </c>
      <c r="H18" s="145">
        <f>EstClsIIIBFUtPerc</f>
        <v>0.34119999999999995</v>
      </c>
      <c r="I18" s="146">
        <f>EstClsIIISkimUtPerc</f>
        <v>0.12720000000000001</v>
      </c>
      <c r="M18" s="5"/>
    </row>
    <row r="19" spans="1:14" ht="15.75" x14ac:dyDescent="0.25">
      <c r="A19" s="131"/>
      <c r="B19" s="147">
        <f>SUM(B16:B18)</f>
        <v>15381269.999999998</v>
      </c>
      <c r="C19" s="147">
        <f>SUM(C16:C18)</f>
        <v>633892.89923999994</v>
      </c>
      <c r="D19" s="147">
        <f>SUM(D16:D18)</f>
        <v>14747377.10076</v>
      </c>
      <c r="E19" s="126"/>
      <c r="F19" s="126"/>
      <c r="G19" s="148" t="s">
        <v>44</v>
      </c>
      <c r="H19" s="149">
        <f>SUM(H16:H18)</f>
        <v>0.99999999999999989</v>
      </c>
      <c r="I19" s="150">
        <f>SUM(I16:I18)</f>
        <v>0.99999999999999989</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2418153.3598033399</v>
      </c>
      <c r="C22" s="159">
        <f>C16*MTClassIButterfatPrice</f>
        <v>748163.14942017256</v>
      </c>
      <c r="D22" s="159">
        <f>D16*MTClassISkimPrice</f>
        <v>1669990.2103831673</v>
      </c>
      <c r="E22" s="159"/>
      <c r="F22" s="160" t="s">
        <v>21</v>
      </c>
      <c r="G22" s="219">
        <v>20.89</v>
      </c>
      <c r="H22" s="162">
        <v>2.4165999999999999</v>
      </c>
      <c r="I22" s="220">
        <v>0.128828</v>
      </c>
    </row>
    <row r="23" spans="1:14" ht="15.75" x14ac:dyDescent="0.25">
      <c r="A23" s="158" t="s">
        <v>22</v>
      </c>
      <c r="B23" s="159">
        <f>SUM(C23:D23)</f>
        <v>249600.76455077963</v>
      </c>
      <c r="C23" s="159">
        <f>C17*MTClassIIButterfatPrice</f>
        <v>258707.56485804095</v>
      </c>
      <c r="D23" s="159">
        <f>D17*MTClassIISkimPrice</f>
        <v>-9106.8003072613101</v>
      </c>
      <c r="E23" s="159"/>
      <c r="F23" s="160" t="s">
        <v>22</v>
      </c>
      <c r="G23" s="219">
        <v>17.994250000000001</v>
      </c>
      <c r="H23" s="162">
        <v>2.3950999999999998</v>
      </c>
      <c r="I23" s="220">
        <v>9.9599999999999994E-2</v>
      </c>
    </row>
    <row r="24" spans="1:14" ht="15.75" x14ac:dyDescent="0.25">
      <c r="A24" s="164" t="s">
        <v>23</v>
      </c>
      <c r="B24" s="165">
        <f>SUM(C24:D24)</f>
        <v>668585.23455091997</v>
      </c>
      <c r="C24" s="165">
        <f>C18*MTClassIIIButterfatPrice</f>
        <v>494880.00894665613</v>
      </c>
      <c r="D24" s="165">
        <f>D18*MTClassIIISkimPrice</f>
        <v>173705.22560426383</v>
      </c>
      <c r="E24" s="159"/>
      <c r="F24" s="160" t="s">
        <v>23</v>
      </c>
      <c r="G24" s="219">
        <v>16.94425</v>
      </c>
      <c r="H24" s="162">
        <v>2.2881</v>
      </c>
      <c r="I24" s="220">
        <v>9.2600000000000002E-2</v>
      </c>
    </row>
    <row r="25" spans="1:14" ht="15.75" x14ac:dyDescent="0.25">
      <c r="A25" s="158" t="s">
        <v>119</v>
      </c>
      <c r="B25" s="159">
        <f>SUM(B22:B24)</f>
        <v>3336339.3589050393</v>
      </c>
      <c r="C25" s="159">
        <f>SUM(C22:C24)</f>
        <v>1501750.7232248695</v>
      </c>
      <c r="D25" s="159">
        <f>SUM(D22:D24)</f>
        <v>1834588.6356801698</v>
      </c>
      <c r="E25" s="159"/>
      <c r="F25" s="126"/>
      <c r="G25" s="151"/>
      <c r="H25" s="151"/>
      <c r="I25" s="152"/>
    </row>
    <row r="26" spans="1:14" ht="15.75" x14ac:dyDescent="0.25">
      <c r="A26" s="158"/>
      <c r="B26" s="159"/>
      <c r="C26" s="159"/>
      <c r="D26" s="159"/>
      <c r="E26" s="159"/>
      <c r="F26" s="126"/>
      <c r="G26" s="154" t="s">
        <v>114</v>
      </c>
      <c r="H26" s="154" t="s">
        <v>115</v>
      </c>
      <c r="I26" s="152"/>
    </row>
    <row r="27" spans="1:14" ht="15.75" x14ac:dyDescent="0.25">
      <c r="A27" s="166" t="s">
        <v>124</v>
      </c>
      <c r="B27" s="159"/>
      <c r="C27" s="159"/>
      <c r="D27" s="161">
        <f>AVERAGE(G27:H27)</f>
        <v>-49000</v>
      </c>
      <c r="E27" s="159"/>
      <c r="F27" s="126"/>
      <c r="G27" s="167">
        <v>-48000</v>
      </c>
      <c r="H27" s="168">
        <v>-50000</v>
      </c>
      <c r="I27" s="152"/>
      <c r="K27"/>
    </row>
    <row r="28" spans="1:14" ht="15.75" x14ac:dyDescent="0.25">
      <c r="A28" s="158" t="s">
        <v>121</v>
      </c>
      <c r="B28" s="159"/>
      <c r="C28" s="159"/>
      <c r="D28" s="159">
        <f>SurplusAdjustmentPckgClassI</f>
        <v>-111335.48000000001</v>
      </c>
      <c r="E28" s="159"/>
      <c r="F28" s="126"/>
      <c r="G28" s="151"/>
      <c r="H28" s="151"/>
      <c r="I28" s="152"/>
      <c r="L28" s="231"/>
      <c r="M28" s="231"/>
      <c r="N28" s="231"/>
    </row>
    <row r="29" spans="1:14" ht="15.75" x14ac:dyDescent="0.25">
      <c r="A29" s="164" t="s">
        <v>132</v>
      </c>
      <c r="B29" s="169"/>
      <c r="C29" s="169"/>
      <c r="D29" s="165">
        <f>SurplusAdjustmentBulkSales</f>
        <v>0</v>
      </c>
      <c r="E29" s="159"/>
      <c r="F29" s="126"/>
      <c r="G29" s="151"/>
      <c r="H29" s="151"/>
      <c r="I29" s="152"/>
      <c r="L29" s="231"/>
      <c r="M29" s="231"/>
      <c r="N29" s="231"/>
    </row>
    <row r="30" spans="1:14" ht="15.75" x14ac:dyDescent="0.25">
      <c r="A30" s="166" t="s">
        <v>35</v>
      </c>
      <c r="B30" s="170">
        <f>C30+D30</f>
        <v>3176003.8789050393</v>
      </c>
      <c r="C30" s="170">
        <f>SUM(C25:C29)</f>
        <v>1501750.7232248695</v>
      </c>
      <c r="D30" s="170">
        <f>SUM(D25:D29)</f>
        <v>1674253.1556801698</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2.3690921999999994</v>
      </c>
      <c r="D33" s="175">
        <f>D30/Skim_Production</f>
        <v>0.11352887664301253</v>
      </c>
      <c r="E33" s="176"/>
      <c r="F33" s="160" t="s">
        <v>38</v>
      </c>
      <c r="G33" s="126"/>
      <c r="H33" s="175">
        <f>C30/Butterfat_Production</f>
        <v>2.3690921999999994</v>
      </c>
      <c r="I33" s="163">
        <f>D30/Skim_Production</f>
        <v>0.11352887664301253</v>
      </c>
    </row>
    <row r="34" spans="1:9" ht="15.75" x14ac:dyDescent="0.25">
      <c r="A34" s="164" t="s">
        <v>52</v>
      </c>
      <c r="B34" s="169"/>
      <c r="C34" s="177">
        <f>(1.5/100)*B8</f>
        <v>1.3698000000000001E-4</v>
      </c>
      <c r="D34" s="177">
        <f>(1.5/100)*B8</f>
        <v>1.3698000000000001E-4</v>
      </c>
      <c r="E34" s="178"/>
      <c r="F34" s="179" t="s">
        <v>53</v>
      </c>
      <c r="G34" s="169"/>
      <c r="H34" s="177">
        <f>-(1.5/100)*(1-B8)</f>
        <v>-1.4863019999999999E-2</v>
      </c>
      <c r="I34" s="180">
        <f>-(1.5/100)*(1-B8)</f>
        <v>-1.4863019999999999E-2</v>
      </c>
    </row>
    <row r="35" spans="1:9" ht="16.5" thickBot="1" x14ac:dyDescent="0.3">
      <c r="A35" s="181" t="s">
        <v>45</v>
      </c>
      <c r="B35" s="182"/>
      <c r="C35" s="183">
        <f>SUM(C33:C34)</f>
        <v>2.3692291799999996</v>
      </c>
      <c r="D35" s="183">
        <f>SUM(D33:D34)</f>
        <v>0.11366585664301253</v>
      </c>
      <c r="E35" s="184"/>
      <c r="F35" s="185" t="s">
        <v>46</v>
      </c>
      <c r="G35" s="182"/>
      <c r="H35" s="183">
        <f>SUM(H33:H34)</f>
        <v>2.3542291799999995</v>
      </c>
      <c r="I35" s="186">
        <f>SUM(I33:I34)</f>
        <v>9.8665856643012528E-2</v>
      </c>
    </row>
    <row r="36" spans="1:9" x14ac:dyDescent="0.25">
      <c r="G36" s="90"/>
      <c r="H36" s="90"/>
      <c r="I36" s="90"/>
    </row>
    <row r="37" spans="1:9" x14ac:dyDescent="0.25">
      <c r="A37" s="3"/>
      <c r="G37" s="90"/>
      <c r="H37" s="90"/>
      <c r="I37" s="90"/>
    </row>
    <row r="38" spans="1:9" ht="15.75" thickBot="1" x14ac:dyDescent="0.3"/>
    <row r="39" spans="1:9" ht="15.75" x14ac:dyDescent="0.25">
      <c r="A39" s="119" t="s">
        <v>123</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125</v>
      </c>
      <c r="B41" s="188" t="s">
        <v>10</v>
      </c>
      <c r="C41" s="188" t="s">
        <v>11</v>
      </c>
      <c r="D41" s="188" t="s">
        <v>12</v>
      </c>
      <c r="E41" s="133"/>
      <c r="F41" s="126"/>
      <c r="G41" s="126"/>
      <c r="H41" s="133" t="s">
        <v>26</v>
      </c>
      <c r="I41" s="139" t="s">
        <v>27</v>
      </c>
    </row>
    <row r="42" spans="1:9" ht="15.75" x14ac:dyDescent="0.25">
      <c r="A42" s="189"/>
      <c r="B42" s="190">
        <f>SUM(C42:D42)</f>
        <v>3972720.0012544743</v>
      </c>
      <c r="C42" s="190">
        <f>EstClsIPckgSurpPoolBFUtPerc*Butterfat_Production</f>
        <v>96489.909336514305</v>
      </c>
      <c r="D42" s="190">
        <f>EstClsIPckgSurpPoolSkimUtPerc*Skim_Production</f>
        <v>3876230.09191796</v>
      </c>
      <c r="E42" s="126"/>
      <c r="G42" s="211" t="s">
        <v>129</v>
      </c>
      <c r="H42" s="142">
        <f>EstClsIPckgSurpPoolBFUtPerc</f>
        <v>0.15221799999999999</v>
      </c>
      <c r="I42" s="143">
        <f>EstClsIPckgSurpPoolSkimUtPerc</f>
        <v>0.26284200000000002</v>
      </c>
    </row>
    <row r="43" spans="1:9" ht="15.75" x14ac:dyDescent="0.25">
      <c r="A43" s="158"/>
      <c r="B43" s="192"/>
      <c r="C43" s="192"/>
      <c r="D43" s="192"/>
      <c r="E43" s="126"/>
      <c r="F43" s="160"/>
      <c r="G43" s="126"/>
      <c r="H43" s="149"/>
      <c r="I43" s="150"/>
    </row>
    <row r="44" spans="1:9" ht="31.5" x14ac:dyDescent="0.25">
      <c r="A44" s="193" t="s">
        <v>126</v>
      </c>
      <c r="B44" s="133" t="s">
        <v>10</v>
      </c>
      <c r="C44" s="192"/>
      <c r="D44" s="192"/>
      <c r="E44" s="126"/>
      <c r="F44" s="156" t="s">
        <v>120</v>
      </c>
      <c r="G44" s="126"/>
      <c r="H44" s="149"/>
      <c r="I44" s="150"/>
    </row>
    <row r="45" spans="1:9" ht="15.75" x14ac:dyDescent="0.25">
      <c r="A45" s="194" t="s">
        <v>116</v>
      </c>
      <c r="B45" s="192">
        <f>ROUND(F45*B42,0)</f>
        <v>1966496</v>
      </c>
      <c r="C45" s="192"/>
      <c r="D45" s="192"/>
      <c r="E45" s="126"/>
      <c r="F45" s="142">
        <f>PercClsIPckgSurptoContigStates</f>
        <v>0.49499999999999994</v>
      </c>
      <c r="G45" s="126"/>
      <c r="H45" s="149"/>
      <c r="I45" s="150"/>
    </row>
    <row r="46" spans="1:9" ht="15.75" x14ac:dyDescent="0.25">
      <c r="A46" s="194" t="s">
        <v>117</v>
      </c>
      <c r="B46" s="192">
        <f>B42-B45</f>
        <v>2006224.0012544743</v>
      </c>
      <c r="C46" s="192"/>
      <c r="D46" s="192"/>
      <c r="E46" s="126"/>
      <c r="F46" s="195">
        <f>1-F45</f>
        <v>0.50500000000000012</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127</v>
      </c>
      <c r="B49" s="192"/>
      <c r="C49" s="192"/>
      <c r="D49" s="192"/>
      <c r="E49" s="126"/>
      <c r="F49" s="212" t="s">
        <v>122</v>
      </c>
      <c r="G49" s="126"/>
      <c r="H49" s="149"/>
      <c r="I49" s="150"/>
    </row>
    <row r="50" spans="1:11" ht="15.75" x14ac:dyDescent="0.25">
      <c r="A50" s="194" t="s">
        <v>116</v>
      </c>
      <c r="B50" s="159">
        <f>ROUND(B45/100*F50,2)</f>
        <v>-50145.65</v>
      </c>
      <c r="C50" s="192"/>
      <c r="D50" s="192"/>
      <c r="E50" s="126"/>
      <c r="F50" s="197">
        <v>-2.5499999999999998</v>
      </c>
      <c r="G50" s="126"/>
      <c r="H50" s="149"/>
      <c r="I50" s="150"/>
    </row>
    <row r="51" spans="1:11" ht="15.75" x14ac:dyDescent="0.25">
      <c r="A51" s="198" t="s">
        <v>117</v>
      </c>
      <c r="B51" s="165">
        <f>ROUND(B46/100*F51,2)</f>
        <v>-61189.83</v>
      </c>
      <c r="C51" s="192"/>
      <c r="D51" s="192"/>
      <c r="E51" s="126"/>
      <c r="F51" s="197">
        <v>-3.05</v>
      </c>
      <c r="G51" s="126"/>
      <c r="H51" s="149"/>
      <c r="I51" s="150"/>
    </row>
    <row r="52" spans="1:11" ht="31.5" x14ac:dyDescent="0.25">
      <c r="A52" s="199" t="s">
        <v>128</v>
      </c>
      <c r="B52" s="170">
        <f>SUM(B50:B51)</f>
        <v>-111335.48000000001</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118</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130</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131</v>
      </c>
      <c r="B59" s="170">
        <f>(B56/100)*F59</f>
        <v>0</v>
      </c>
      <c r="C59" s="208"/>
      <c r="D59" s="192"/>
      <c r="E59" s="126"/>
      <c r="F59" s="161">
        <f>ROUND(K91,2)</f>
        <v>-1.79</v>
      </c>
      <c r="G59" s="167">
        <f>ROUND(L91,2)</f>
        <v>-1.79</v>
      </c>
      <c r="H59" s="168">
        <f>ROUND(J91,2)</f>
        <v>-1.79</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6" spans="1:16" hidden="1" x14ac:dyDescent="0.25"/>
    <row r="67" spans="1:16" hidden="1" x14ac:dyDescent="0.25">
      <c r="A67" s="1" t="s">
        <v>143</v>
      </c>
      <c r="B67" s="229">
        <f>B7</f>
        <v>4.1211999999999999E-2</v>
      </c>
    </row>
    <row r="68" spans="1:16" hidden="1" x14ac:dyDescent="0.25">
      <c r="A68" s="1" t="s">
        <v>145</v>
      </c>
      <c r="B68" s="268">
        <v>2.3881000000000001</v>
      </c>
      <c r="C68" s="1" t="s">
        <v>198</v>
      </c>
    </row>
    <row r="69" spans="1:16" hidden="1" x14ac:dyDescent="0.25">
      <c r="A69" s="1" t="s">
        <v>146</v>
      </c>
      <c r="B69" s="268">
        <v>0.1003</v>
      </c>
      <c r="C69" s="1" t="s">
        <v>198</v>
      </c>
    </row>
    <row r="70" spans="1:16" hidden="1" x14ac:dyDescent="0.25">
      <c r="A70" s="1" t="s">
        <v>144</v>
      </c>
      <c r="B70" s="268">
        <v>9.2600000000000002E-2</v>
      </c>
      <c r="C70" s="1" t="s">
        <v>198</v>
      </c>
    </row>
    <row r="71" spans="1:16" hidden="1" x14ac:dyDescent="0.25">
      <c r="B71" s="230"/>
    </row>
    <row r="72" spans="1:16" hidden="1" x14ac:dyDescent="0.25">
      <c r="A72" t="s">
        <v>147</v>
      </c>
      <c r="B72" s="230">
        <f>MTClassIIISkimPrice</f>
        <v>9.2600000000000002E-2</v>
      </c>
    </row>
    <row r="73" spans="1:16" hidden="1" x14ac:dyDescent="0.25">
      <c r="A73" t="s">
        <v>148</v>
      </c>
      <c r="B73" s="230">
        <f>MTClassIIIButterfatPrice</f>
        <v>2.2881</v>
      </c>
    </row>
    <row r="74" spans="1:16" hidden="1" x14ac:dyDescent="0.25"/>
    <row r="75" spans="1:16" hidden="1" x14ac:dyDescent="0.25"/>
    <row r="76" spans="1:16" hidden="1" x14ac:dyDescent="0.25">
      <c r="A76" t="s">
        <v>149</v>
      </c>
      <c r="B76" s="231">
        <f>(100*B67*B68)+(100*(1-B67)*B70)</f>
        <v>18.720214599999998</v>
      </c>
    </row>
    <row r="77" spans="1:16" hidden="1" x14ac:dyDescent="0.25">
      <c r="A77" t="s">
        <v>150</v>
      </c>
      <c r="B77" s="231">
        <f>(100*B67*B73+100*(1-B67)*B72)</f>
        <v>18.308094599999997</v>
      </c>
    </row>
    <row r="78" spans="1:16" hidden="1" x14ac:dyDescent="0.25"/>
    <row r="79" spans="1:16" ht="60" hidden="1" x14ac:dyDescent="0.25">
      <c r="F79" s="232" t="s">
        <v>156</v>
      </c>
      <c r="G79" s="232" t="s">
        <v>157</v>
      </c>
      <c r="H79" s="232" t="s">
        <v>158</v>
      </c>
      <c r="J79" s="234" t="s">
        <v>159</v>
      </c>
      <c r="K79" s="239" t="s">
        <v>160</v>
      </c>
      <c r="L79" s="234" t="s">
        <v>161</v>
      </c>
      <c r="N79" s="238" t="s">
        <v>163</v>
      </c>
      <c r="O79" s="238" t="s">
        <v>162</v>
      </c>
      <c r="P79" s="238" t="s">
        <v>164</v>
      </c>
    </row>
    <row r="80" spans="1:16" hidden="1" x14ac:dyDescent="0.25">
      <c r="A80" t="s">
        <v>151</v>
      </c>
      <c r="B80" s="231">
        <f>B76</f>
        <v>18.720214599999998</v>
      </c>
    </row>
    <row r="81" spans="1:16" hidden="1" x14ac:dyDescent="0.25">
      <c r="A81" t="s">
        <v>153</v>
      </c>
      <c r="B81" s="231">
        <v>-2.2000000000000002</v>
      </c>
    </row>
    <row r="82" spans="1:16" hidden="1" x14ac:dyDescent="0.25">
      <c r="A82" s="244" t="s">
        <v>186</v>
      </c>
      <c r="B82" s="235">
        <f>-B77</f>
        <v>-18.308094599999997</v>
      </c>
    </row>
    <row r="83" spans="1:16" hidden="1" x14ac:dyDescent="0.25">
      <c r="A83" t="s">
        <v>152</v>
      </c>
      <c r="B83" s="231">
        <f>SUM(B80:B82)</f>
        <v>-1.7878799999999977</v>
      </c>
      <c r="F83" s="5">
        <f>N83/N$91</f>
        <v>1</v>
      </c>
      <c r="G83" s="5">
        <f>O83/O$91</f>
        <v>1</v>
      </c>
      <c r="H83" s="5">
        <f>P83/P$91</f>
        <v>1</v>
      </c>
      <c r="J83" s="231">
        <f>$B83*F83</f>
        <v>-1.7878799999999977</v>
      </c>
      <c r="K83" s="231">
        <f>$B83*G83</f>
        <v>-1.7878799999999977</v>
      </c>
      <c r="L83" s="231">
        <f>$B83*H83</f>
        <v>-1.7878799999999977</v>
      </c>
      <c r="N83" s="237">
        <f>O83-65000*2</f>
        <v>1088300</v>
      </c>
      <c r="O83" s="237">
        <v>1218300</v>
      </c>
      <c r="P83" s="237">
        <f>O83+65000*2</f>
        <v>1348300</v>
      </c>
    </row>
    <row r="84" spans="1:16" hidden="1" x14ac:dyDescent="0.25"/>
    <row r="85" spans="1:16" hidden="1" x14ac:dyDescent="0.25">
      <c r="A85" t="s">
        <v>187</v>
      </c>
      <c r="B85" s="233">
        <f>B77</f>
        <v>18.308094599999997</v>
      </c>
    </row>
    <row r="86" spans="1:16" hidden="1" x14ac:dyDescent="0.25">
      <c r="A86" t="s">
        <v>188</v>
      </c>
      <c r="B86" s="233">
        <v>0</v>
      </c>
    </row>
    <row r="87" spans="1:16" hidden="1" x14ac:dyDescent="0.25">
      <c r="A87" t="s">
        <v>154</v>
      </c>
      <c r="B87" s="233">
        <v>-5.43</v>
      </c>
    </row>
    <row r="88" spans="1:16" hidden="1" x14ac:dyDescent="0.25">
      <c r="A88" s="244" t="s">
        <v>186</v>
      </c>
      <c r="B88" s="235">
        <f>-B77</f>
        <v>-18.308094599999997</v>
      </c>
    </row>
    <row r="89" spans="1:16" hidden="1" x14ac:dyDescent="0.25">
      <c r="A89" t="s">
        <v>155</v>
      </c>
      <c r="B89" s="231">
        <f>SUM(B85:B88)</f>
        <v>-5.43</v>
      </c>
      <c r="F89" s="5">
        <f>N89/N$91</f>
        <v>0</v>
      </c>
      <c r="G89" s="5">
        <f t="shared" ref="G89:H89" si="0">O89/O$91</f>
        <v>0</v>
      </c>
      <c r="H89" s="5">
        <f t="shared" si="0"/>
        <v>0</v>
      </c>
      <c r="J89" s="235">
        <f>$B89*F89</f>
        <v>0</v>
      </c>
      <c r="K89" s="235">
        <f>$B89*G89</f>
        <v>0</v>
      </c>
      <c r="L89" s="235">
        <f>$B89*H89</f>
        <v>0</v>
      </c>
      <c r="N89" s="237">
        <v>0</v>
      </c>
      <c r="O89" s="237">
        <v>0</v>
      </c>
      <c r="P89" s="237">
        <v>0</v>
      </c>
    </row>
    <row r="90" spans="1:16" hidden="1" x14ac:dyDescent="0.25"/>
    <row r="91" spans="1:16" hidden="1" x14ac:dyDescent="0.25">
      <c r="F91" s="5">
        <f>SUM(F80:F89)</f>
        <v>1</v>
      </c>
      <c r="G91" s="5">
        <f>SUM(G80:G89)</f>
        <v>1</v>
      </c>
      <c r="H91" s="5">
        <f>SUM(H80:H89)</f>
        <v>1</v>
      </c>
      <c r="I91" s="236" t="s">
        <v>54</v>
      </c>
      <c r="J91" s="231">
        <f>SUM(J80:J89)</f>
        <v>-1.7878799999999977</v>
      </c>
      <c r="K91" s="240">
        <f>SUM(K80:K89)</f>
        <v>-1.7878799999999977</v>
      </c>
      <c r="L91" s="231">
        <f>SUM(L80:L89)</f>
        <v>-1.7878799999999977</v>
      </c>
      <c r="N91" s="237">
        <f>SUM(N80:N89)</f>
        <v>1088300</v>
      </c>
      <c r="O91" s="237">
        <f>SUM(O80:O89)</f>
        <v>1218300</v>
      </c>
      <c r="P91" s="237">
        <f>SUM(P80:P89)</f>
        <v>1348300</v>
      </c>
    </row>
  </sheetData>
  <sheetProtection algorithmName="SHA-512" hashValue="oC5AywwB10ZLJUpdYW3zIlCzS8cqm7dXrCQWJPsUfIKRxRdtxUj2fav3P+WuFa5UUBhHjUUZDJviMylyfoimmA==" saltValue="SpWgptnh96i15E2Gq5bIkw==" spinCount="100000" sheet="1" formatColumns="0" insertColumns="0"/>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tint="0.39997558519241921"/>
    <pageSetUpPr fitToPage="1"/>
  </sheetPr>
  <dimension ref="A1:B66"/>
  <sheetViews>
    <sheetView topLeftCell="A4" workbookViewId="0">
      <selection activeCell="A31" sqref="A31:XFD68"/>
    </sheetView>
  </sheetViews>
  <sheetFormatPr defaultRowHeight="15" x14ac:dyDescent="0.25"/>
  <cols>
    <col min="1" max="1" width="85.5703125" customWidth="1"/>
    <col min="2" max="2" width="15.42578125" customWidth="1"/>
  </cols>
  <sheetData>
    <row r="1" spans="1:2" x14ac:dyDescent="0.25">
      <c r="A1" s="3" t="s">
        <v>74</v>
      </c>
    </row>
    <row r="2" spans="1:2" x14ac:dyDescent="0.25">
      <c r="A2" s="34" t="str">
        <f>Pooling_Month</f>
        <v>October 2025</v>
      </c>
    </row>
    <row r="4" spans="1:2" x14ac:dyDescent="0.25">
      <c r="B4" s="37" t="s">
        <v>60</v>
      </c>
    </row>
    <row r="5" spans="1:2" x14ac:dyDescent="0.25">
      <c r="A5" s="2" t="s">
        <v>50</v>
      </c>
      <c r="B5" s="33">
        <f>PoolDailyProd</f>
        <v>496170</v>
      </c>
    </row>
    <row r="6" spans="1:2" x14ac:dyDescent="0.25">
      <c r="A6" s="36" t="s">
        <v>77</v>
      </c>
      <c r="B6" s="32">
        <f>PoolButterfatPercent</f>
        <v>4.1211999999999999E-2</v>
      </c>
    </row>
    <row r="7" spans="1:2" x14ac:dyDescent="0.25">
      <c r="A7" s="2" t="s">
        <v>51</v>
      </c>
      <c r="B7" s="32">
        <f>PoolOverQuotaProdPerc</f>
        <v>9.1320000000000012E-3</v>
      </c>
    </row>
    <row r="8" spans="1:2" x14ac:dyDescent="0.25">
      <c r="B8" s="31"/>
    </row>
    <row r="9" spans="1:2" x14ac:dyDescent="0.25">
      <c r="A9" t="s">
        <v>75</v>
      </c>
      <c r="B9" s="31"/>
    </row>
    <row r="10" spans="1:2" x14ac:dyDescent="0.25">
      <c r="A10" s="35" t="s">
        <v>21</v>
      </c>
      <c r="B10" s="32">
        <f>EstClsIBFUtPerc</f>
        <v>0.48839999999999995</v>
      </c>
    </row>
    <row r="11" spans="1:2" x14ac:dyDescent="0.25">
      <c r="A11" s="35" t="s">
        <v>22</v>
      </c>
      <c r="B11" s="32">
        <f>EstClsIIBFUtPerc</f>
        <v>0.17040000000000002</v>
      </c>
    </row>
    <row r="12" spans="1:2" x14ac:dyDescent="0.25">
      <c r="A12" s="35" t="s">
        <v>23</v>
      </c>
      <c r="B12" s="38">
        <f>EstClsIIIBFUtPerc</f>
        <v>0.34119999999999995</v>
      </c>
    </row>
    <row r="13" spans="1:2" x14ac:dyDescent="0.25">
      <c r="B13" s="32">
        <f>SUM(B10:B12)</f>
        <v>0.99999999999999989</v>
      </c>
    </row>
    <row r="14" spans="1:2" x14ac:dyDescent="0.25">
      <c r="B14" s="31"/>
    </row>
    <row r="15" spans="1:2" x14ac:dyDescent="0.25">
      <c r="A15" t="s">
        <v>76</v>
      </c>
      <c r="B15" s="31"/>
    </row>
    <row r="16" spans="1:2" x14ac:dyDescent="0.25">
      <c r="A16" s="35" t="s">
        <v>21</v>
      </c>
      <c r="B16" s="32">
        <f>EstClsISkimUtPerc</f>
        <v>0.87899999999999989</v>
      </c>
    </row>
    <row r="17" spans="1:2" x14ac:dyDescent="0.25">
      <c r="A17" s="35" t="s">
        <v>22</v>
      </c>
      <c r="B17" s="32">
        <f>EstClsIISkimUTPerc</f>
        <v>-6.1999999999999972E-3</v>
      </c>
    </row>
    <row r="18" spans="1:2" x14ac:dyDescent="0.25">
      <c r="A18" s="35" t="s">
        <v>23</v>
      </c>
      <c r="B18" s="38">
        <f>EstClsIIISkimUtPerc</f>
        <v>0.12720000000000001</v>
      </c>
    </row>
    <row r="19" spans="1:2" x14ac:dyDescent="0.25">
      <c r="B19" s="32">
        <f>SUM(B16:B18)</f>
        <v>0.99999999999999989</v>
      </c>
    </row>
    <row r="20" spans="1:2" x14ac:dyDescent="0.25">
      <c r="B20" s="32"/>
    </row>
    <row r="21" spans="1:2" ht="15.75" x14ac:dyDescent="0.25">
      <c r="A21" s="213" t="s">
        <v>141</v>
      </c>
      <c r="B21" s="39">
        <f>'Quota Price Estimator'!D27</f>
        <v>-49000</v>
      </c>
    </row>
    <row r="22" spans="1:2" x14ac:dyDescent="0.25">
      <c r="B22" s="31"/>
    </row>
    <row r="23" spans="1:2" x14ac:dyDescent="0.25">
      <c r="A23" t="s">
        <v>133</v>
      </c>
      <c r="B23" s="32">
        <f>EstClsIPckgSurpPoolBFUtPerc</f>
        <v>0.15221799999999999</v>
      </c>
    </row>
    <row r="24" spans="1:2" x14ac:dyDescent="0.25">
      <c r="A24" t="s">
        <v>134</v>
      </c>
      <c r="B24" s="32">
        <f>EstClsIPckgSurpPoolSkimUtPerc</f>
        <v>0.26284200000000002</v>
      </c>
    </row>
    <row r="25" spans="1:2" x14ac:dyDescent="0.25">
      <c r="B25" s="31"/>
    </row>
    <row r="26" spans="1:2" x14ac:dyDescent="0.25">
      <c r="A26" t="s">
        <v>136</v>
      </c>
      <c r="B26" s="32">
        <f>PercClsIPckgSurptoContigStates</f>
        <v>0.49499999999999994</v>
      </c>
    </row>
    <row r="27" spans="1:2" x14ac:dyDescent="0.25">
      <c r="B27" s="31"/>
    </row>
    <row r="28" spans="1:2" x14ac:dyDescent="0.25">
      <c r="A28" s="214" t="s">
        <v>139</v>
      </c>
      <c r="B28" s="32">
        <f>EstBulkSurpPoolMilkUtPerc</f>
        <v>0</v>
      </c>
    </row>
    <row r="29" spans="1:2" x14ac:dyDescent="0.25">
      <c r="B29" s="31"/>
    </row>
    <row r="30" spans="1:2" x14ac:dyDescent="0.25">
      <c r="A30" t="s">
        <v>142</v>
      </c>
      <c r="B30" s="39">
        <f>'Quota Price Estimator'!F59</f>
        <v>-1.79</v>
      </c>
    </row>
    <row r="32" spans="1:2" hidden="1" x14ac:dyDescent="0.25"/>
    <row r="33" spans="1:2" hidden="1" x14ac:dyDescent="0.25"/>
    <row r="34" spans="1:2" ht="30" hidden="1" x14ac:dyDescent="0.25">
      <c r="B34" s="4" t="s">
        <v>185</v>
      </c>
    </row>
    <row r="35" spans="1:2" hidden="1" x14ac:dyDescent="0.25">
      <c r="A35" t="s">
        <v>167</v>
      </c>
      <c r="B35" s="247">
        <f>'Dairy Revenue Estimator'!B9</f>
        <v>19.261057296050708</v>
      </c>
    </row>
    <row r="36" spans="1:2" hidden="1" x14ac:dyDescent="0.25">
      <c r="A36" t="s">
        <v>168</v>
      </c>
      <c r="B36" s="248">
        <f>'Dairy Revenue Estimator'!C9</f>
        <v>2.3692291799999996</v>
      </c>
    </row>
    <row r="37" spans="1:2" hidden="1" x14ac:dyDescent="0.25">
      <c r="A37" t="s">
        <v>169</v>
      </c>
      <c r="B37" s="248">
        <f>'Dairy Revenue Estimator'!D9</f>
        <v>0.11366585664301253</v>
      </c>
    </row>
    <row r="38" spans="1:2" hidden="1" x14ac:dyDescent="0.25">
      <c r="B38" s="245"/>
    </row>
    <row r="39" spans="1:2" hidden="1" x14ac:dyDescent="0.25">
      <c r="A39" t="s">
        <v>19</v>
      </c>
      <c r="B39" s="249">
        <f>'Quota Price Estimator'!B13</f>
        <v>15381270</v>
      </c>
    </row>
    <row r="40" spans="1:2" hidden="1" x14ac:dyDescent="0.25">
      <c r="B40" s="245"/>
    </row>
    <row r="41" spans="1:2" hidden="1" x14ac:dyDescent="0.25">
      <c r="A41" t="s">
        <v>170</v>
      </c>
      <c r="B41" s="250">
        <f>'Quota Price Estimator'!B7</f>
        <v>4.1211999999999999E-2</v>
      </c>
    </row>
    <row r="42" spans="1:2" hidden="1" x14ac:dyDescent="0.25">
      <c r="B42" s="246"/>
    </row>
    <row r="43" spans="1:2" hidden="1" x14ac:dyDescent="0.25">
      <c r="A43" t="s">
        <v>171</v>
      </c>
      <c r="B43" s="250">
        <f>'Quota Price Estimator'!B8</f>
        <v>9.1320000000000012E-3</v>
      </c>
    </row>
    <row r="44" spans="1:2" hidden="1" x14ac:dyDescent="0.25">
      <c r="B44" s="245"/>
    </row>
    <row r="45" spans="1:2" hidden="1" x14ac:dyDescent="0.25">
      <c r="A45" t="s">
        <v>172</v>
      </c>
      <c r="B45" s="251">
        <f>'Quota Price Estimator'!H16</f>
        <v>0.48839999999999995</v>
      </c>
    </row>
    <row r="46" spans="1:2" hidden="1" x14ac:dyDescent="0.25">
      <c r="A46" t="s">
        <v>173</v>
      </c>
      <c r="B46" s="251">
        <f>'Quota Price Estimator'!H17</f>
        <v>0.17040000000000002</v>
      </c>
    </row>
    <row r="47" spans="1:2" hidden="1" x14ac:dyDescent="0.25">
      <c r="A47" t="s">
        <v>174</v>
      </c>
      <c r="B47" s="251">
        <f>'Quota Price Estimator'!H18</f>
        <v>0.34119999999999995</v>
      </c>
    </row>
    <row r="48" spans="1:2" hidden="1" x14ac:dyDescent="0.25">
      <c r="B48" s="246"/>
    </row>
    <row r="49" spans="1:2" hidden="1" x14ac:dyDescent="0.25">
      <c r="A49" t="s">
        <v>175</v>
      </c>
      <c r="B49" s="251">
        <f>'Quota Price Estimator'!I16</f>
        <v>0.87899999999999989</v>
      </c>
    </row>
    <row r="50" spans="1:2" hidden="1" x14ac:dyDescent="0.25">
      <c r="A50" t="s">
        <v>176</v>
      </c>
      <c r="B50" s="251">
        <f>'Quota Price Estimator'!I17</f>
        <v>-6.1999999999999972E-3</v>
      </c>
    </row>
    <row r="51" spans="1:2" hidden="1" x14ac:dyDescent="0.25">
      <c r="A51" t="s">
        <v>177</v>
      </c>
      <c r="B51" s="251">
        <f>'Quota Price Estimator'!I18</f>
        <v>0.12720000000000001</v>
      </c>
    </row>
    <row r="52" spans="1:2" hidden="1" x14ac:dyDescent="0.25">
      <c r="B52" s="245"/>
    </row>
    <row r="53" spans="1:2" hidden="1" x14ac:dyDescent="0.25">
      <c r="A53" t="s">
        <v>178</v>
      </c>
      <c r="B53" s="252">
        <f>ROUND('Quota Price Estimator'!B42/100,2)</f>
        <v>39727.199999999997</v>
      </c>
    </row>
    <row r="54" spans="1:2" hidden="1" x14ac:dyDescent="0.25">
      <c r="A54" t="s">
        <v>179</v>
      </c>
      <c r="B54" s="253">
        <f>SurplusAdjustmentPckgClassI</f>
        <v>-111335.48000000001</v>
      </c>
    </row>
    <row r="55" spans="1:2" hidden="1" x14ac:dyDescent="0.25">
      <c r="B55" s="245"/>
    </row>
    <row r="56" spans="1:2" hidden="1" x14ac:dyDescent="0.25">
      <c r="A56" t="s">
        <v>180</v>
      </c>
      <c r="B56" s="252">
        <f>ROUND('Quota Price Estimator'!B56/100,2)</f>
        <v>0</v>
      </c>
    </row>
    <row r="57" spans="1:2" hidden="1" x14ac:dyDescent="0.25">
      <c r="A57" t="s">
        <v>181</v>
      </c>
      <c r="B57" s="253">
        <f>'Quota Price Estimator'!F59</f>
        <v>-1.79</v>
      </c>
    </row>
    <row r="58" spans="1:2" hidden="1" x14ac:dyDescent="0.25">
      <c r="A58" t="s">
        <v>182</v>
      </c>
      <c r="B58" s="253">
        <f>SurplusAdjustmentBulkSales</f>
        <v>0</v>
      </c>
    </row>
    <row r="59" spans="1:2" hidden="1" x14ac:dyDescent="0.25">
      <c r="B59" s="245"/>
    </row>
    <row r="60" spans="1:2" hidden="1" x14ac:dyDescent="0.25">
      <c r="A60" t="s">
        <v>183</v>
      </c>
      <c r="B60" s="253">
        <f>'Quota Price Estimator'!D27</f>
        <v>-49000</v>
      </c>
    </row>
    <row r="61" spans="1:2" hidden="1" x14ac:dyDescent="0.25">
      <c r="B61" s="245"/>
    </row>
    <row r="62" spans="1:2" hidden="1" x14ac:dyDescent="0.25">
      <c r="A62" s="40" t="s">
        <v>184</v>
      </c>
      <c r="B62" s="253">
        <f>'Quota Price Estimator'!B30</f>
        <v>3176003.8789050393</v>
      </c>
    </row>
    <row r="63" spans="1:2" hidden="1" x14ac:dyDescent="0.25"/>
    <row r="64" spans="1:2" hidden="1" x14ac:dyDescent="0.25"/>
    <row r="65" hidden="1" x14ac:dyDescent="0.25"/>
    <row r="66" hidden="1" x14ac:dyDescent="0.25"/>
  </sheetData>
  <sheetProtection algorithmName="SHA-512" hashValue="S7lAgKZ7pWUVhfnT+qqcOwvgjdCrCOwsGw2/yghNcpUQmDQ10Cf56rHWId8Le873b64+3+udB4CbX7uJTxqFIg==" saltValue="QVdAz129qcQ5JFraJ/wp1A=="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44"/>
  <sheetViews>
    <sheetView topLeftCell="A2" workbookViewId="0">
      <selection activeCell="A131" sqref="A131:XFD141"/>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8" max="8" width="10.140625" bestFit="1"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216</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hidden="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hidden="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hidden="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hidden="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hidden="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hidden="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hidden="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hidden="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hidden="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hidden="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hidden="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hidden="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hidden="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hidden="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hidden="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hidden="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hidden="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hidden="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hidden="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hidden="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hidden="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hidden="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hidden="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hidden="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21" si="9">SUM(B96:D96)</f>
        <v>1</v>
      </c>
      <c r="G96" s="15">
        <v>45108</v>
      </c>
      <c r="H96" s="13">
        <v>0.90710000000000002</v>
      </c>
      <c r="I96" s="13">
        <v>3.9800000000000002E-2</v>
      </c>
      <c r="J96" s="13">
        <v>5.3100000000000001E-2</v>
      </c>
      <c r="K96" s="13">
        <f t="shared" ref="K96:K121"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v>45597</v>
      </c>
      <c r="B112" s="13">
        <v>0.52959999999999996</v>
      </c>
      <c r="C112" s="13">
        <v>0.108</v>
      </c>
      <c r="D112" s="13">
        <v>0.3624</v>
      </c>
      <c r="E112" s="13">
        <f t="shared" si="9"/>
        <v>1</v>
      </c>
      <c r="G112" s="15">
        <v>45597</v>
      </c>
      <c r="H112" s="13">
        <v>0.91920000000000002</v>
      </c>
      <c r="I112" s="13">
        <v>2.5000000000000001E-3</v>
      </c>
      <c r="J112" s="13">
        <v>7.8299999999999995E-2</v>
      </c>
      <c r="K112" s="13">
        <f t="shared" si="10"/>
        <v>1</v>
      </c>
    </row>
    <row r="113" spans="1:17" x14ac:dyDescent="0.25">
      <c r="A113" s="14">
        <v>45627</v>
      </c>
      <c r="B113" s="13">
        <f>54.53%+0.01%</f>
        <v>0.5454</v>
      </c>
      <c r="C113" s="13">
        <v>9.5200000000000007E-2</v>
      </c>
      <c r="D113" s="13">
        <v>0.3594</v>
      </c>
      <c r="E113" s="13">
        <f t="shared" si="9"/>
        <v>1</v>
      </c>
      <c r="G113" s="15">
        <v>45627</v>
      </c>
      <c r="H113" s="13">
        <v>0.91449999999999998</v>
      </c>
      <c r="I113" s="13">
        <v>0</v>
      </c>
      <c r="J113" s="13">
        <v>8.5500000000000007E-2</v>
      </c>
      <c r="K113" s="13">
        <f t="shared" si="10"/>
        <v>1</v>
      </c>
    </row>
    <row r="114" spans="1:17" x14ac:dyDescent="0.25">
      <c r="A114" s="14">
        <v>45658</v>
      </c>
      <c r="B114" s="13">
        <v>0.53890000000000005</v>
      </c>
      <c r="C114" s="13">
        <v>8.9300000000000004E-2</v>
      </c>
      <c r="D114" s="13">
        <v>0.37180000000000002</v>
      </c>
      <c r="E114" s="13">
        <f t="shared" si="9"/>
        <v>1</v>
      </c>
      <c r="G114" s="15">
        <v>45658</v>
      </c>
      <c r="H114" s="13">
        <v>0.94099999999999995</v>
      </c>
      <c r="I114" s="13">
        <v>0</v>
      </c>
      <c r="J114" s="13">
        <v>5.8999999999999997E-2</v>
      </c>
      <c r="K114" s="13">
        <f t="shared" si="10"/>
        <v>1</v>
      </c>
    </row>
    <row r="115" spans="1:17" x14ac:dyDescent="0.25">
      <c r="A115" s="14">
        <v>45689</v>
      </c>
      <c r="B115" s="13">
        <f>52.01%+0.01%</f>
        <v>0.5202</v>
      </c>
      <c r="C115" s="13">
        <v>0.1028</v>
      </c>
      <c r="D115" s="13">
        <v>0.377</v>
      </c>
      <c r="E115" s="13">
        <f t="shared" si="9"/>
        <v>1</v>
      </c>
      <c r="G115" s="15">
        <v>45689</v>
      </c>
      <c r="H115" s="13">
        <v>0.91849999999999998</v>
      </c>
      <c r="I115" s="13">
        <v>1.29E-2</v>
      </c>
      <c r="J115" s="13">
        <v>6.8599999999999994E-2</v>
      </c>
      <c r="K115" s="13">
        <f t="shared" si="10"/>
        <v>1</v>
      </c>
    </row>
    <row r="116" spans="1:17" x14ac:dyDescent="0.25">
      <c r="A116" s="14">
        <v>45717</v>
      </c>
      <c r="B116" s="13">
        <v>0.46820000000000001</v>
      </c>
      <c r="C116" s="13">
        <v>0.13969999999999999</v>
      </c>
      <c r="D116" s="13">
        <v>0.3921</v>
      </c>
      <c r="E116" s="13">
        <f t="shared" si="9"/>
        <v>1</v>
      </c>
      <c r="G116" s="15">
        <v>45717</v>
      </c>
      <c r="H116" s="13">
        <f>83.56%+0.01%</f>
        <v>0.8357</v>
      </c>
      <c r="I116" s="13">
        <v>3.0700000000000002E-2</v>
      </c>
      <c r="J116" s="13">
        <v>0.1336</v>
      </c>
      <c r="K116" s="13">
        <f t="shared" si="10"/>
        <v>1</v>
      </c>
    </row>
    <row r="117" spans="1:17" x14ac:dyDescent="0.25">
      <c r="A117" s="14">
        <v>45748</v>
      </c>
      <c r="B117" s="13">
        <v>0.50600000000000001</v>
      </c>
      <c r="C117" s="13">
        <v>0.17299999999999999</v>
      </c>
      <c r="D117" s="13">
        <v>0.32100000000000001</v>
      </c>
      <c r="E117" s="13">
        <f t="shared" si="9"/>
        <v>1</v>
      </c>
      <c r="G117" s="15">
        <v>45748</v>
      </c>
      <c r="H117" s="13">
        <v>0.84389999999999998</v>
      </c>
      <c r="I117" s="13">
        <v>2.4899999999999999E-2</v>
      </c>
      <c r="J117" s="13">
        <v>0.13120000000000001</v>
      </c>
      <c r="K117" s="13">
        <f t="shared" si="10"/>
        <v>1</v>
      </c>
    </row>
    <row r="118" spans="1:17" x14ac:dyDescent="0.25">
      <c r="A118" s="14">
        <v>45778</v>
      </c>
      <c r="B118" s="13">
        <v>0.51370000000000005</v>
      </c>
      <c r="C118" s="13">
        <v>0.18440000000000001</v>
      </c>
      <c r="D118" s="13">
        <v>0.3019</v>
      </c>
      <c r="E118" s="13">
        <f t="shared" si="9"/>
        <v>1</v>
      </c>
      <c r="G118" s="15">
        <v>45778</v>
      </c>
      <c r="H118" s="13">
        <v>0.874</v>
      </c>
      <c r="I118" s="13">
        <v>1.5699999999999999E-2</v>
      </c>
      <c r="J118" s="13">
        <v>0.1103</v>
      </c>
      <c r="K118" s="13">
        <f t="shared" si="10"/>
        <v>1</v>
      </c>
    </row>
    <row r="119" spans="1:17" x14ac:dyDescent="0.25">
      <c r="A119" s="14">
        <v>45809</v>
      </c>
      <c r="B119" s="13">
        <v>0.54339999999999999</v>
      </c>
      <c r="C119" s="13">
        <v>0.19620000000000001</v>
      </c>
      <c r="D119" s="13">
        <v>0.26040000000000002</v>
      </c>
      <c r="E119" s="13">
        <f t="shared" si="9"/>
        <v>1</v>
      </c>
      <c r="G119" s="15">
        <v>45809</v>
      </c>
      <c r="H119" s="13">
        <v>0.88580000000000003</v>
      </c>
      <c r="I119" s="13">
        <v>2.2499999999999999E-2</v>
      </c>
      <c r="J119" s="13">
        <v>9.1700000000000004E-2</v>
      </c>
      <c r="K119" s="13">
        <f t="shared" si="10"/>
        <v>1</v>
      </c>
    </row>
    <row r="120" spans="1:17" x14ac:dyDescent="0.25">
      <c r="A120" s="14">
        <v>45839</v>
      </c>
      <c r="B120" s="13">
        <f>53%-0.01%</f>
        <v>0.52990000000000004</v>
      </c>
      <c r="C120" s="13">
        <v>0.23830000000000001</v>
      </c>
      <c r="D120" s="13">
        <v>0.23180000000000001</v>
      </c>
      <c r="E120" s="13">
        <f t="shared" si="9"/>
        <v>1</v>
      </c>
      <c r="G120" s="15">
        <v>45839</v>
      </c>
      <c r="H120" s="13">
        <v>0.89270000000000005</v>
      </c>
      <c r="I120" s="13">
        <v>2.3699999999999999E-2</v>
      </c>
      <c r="J120" s="13">
        <v>8.3599999999999994E-2</v>
      </c>
      <c r="K120" s="13">
        <f t="shared" si="10"/>
        <v>1</v>
      </c>
    </row>
    <row r="121" spans="1:17" x14ac:dyDescent="0.25">
      <c r="A121" s="14">
        <v>45870</v>
      </c>
      <c r="B121" s="13">
        <v>0.51170000000000004</v>
      </c>
      <c r="C121" s="13">
        <v>0.20250000000000001</v>
      </c>
      <c r="D121" s="13">
        <v>0.2858</v>
      </c>
      <c r="E121" s="13">
        <f t="shared" si="9"/>
        <v>1</v>
      </c>
      <c r="G121" s="15">
        <v>45870</v>
      </c>
      <c r="H121" s="13">
        <f>85.55%-0.01%</f>
        <v>0.85539999999999994</v>
      </c>
      <c r="I121" s="13">
        <v>1.9400000000000001E-2</v>
      </c>
      <c r="J121" s="13">
        <v>0.12520000000000001</v>
      </c>
      <c r="K121" s="13">
        <f t="shared" si="10"/>
        <v>0.99999999999999989</v>
      </c>
    </row>
    <row r="122" spans="1:17" x14ac:dyDescent="0.25">
      <c r="A122" s="14"/>
      <c r="B122" s="13"/>
      <c r="C122" s="13"/>
      <c r="D122" s="13"/>
      <c r="E122" s="13"/>
      <c r="G122" s="15"/>
      <c r="H122" s="13"/>
      <c r="I122" s="13"/>
      <c r="J122" s="13"/>
      <c r="K122" s="13"/>
    </row>
    <row r="123" spans="1:17" x14ac:dyDescent="0.25">
      <c r="A123" s="14"/>
      <c r="B123" s="13"/>
      <c r="C123" s="13"/>
      <c r="D123" s="13"/>
      <c r="E123" s="13"/>
      <c r="G123" s="15"/>
      <c r="H123" s="13"/>
      <c r="I123" s="13"/>
      <c r="J123" s="13"/>
      <c r="K123" s="13"/>
    </row>
    <row r="124" spans="1:17" x14ac:dyDescent="0.25">
      <c r="A124" s="14"/>
      <c r="B124" s="13"/>
      <c r="C124" s="13"/>
      <c r="D124" s="13"/>
      <c r="E124" s="13"/>
      <c r="G124" s="15"/>
      <c r="H124" s="13"/>
      <c r="I124" s="13"/>
      <c r="J124" s="13"/>
      <c r="K124" s="13"/>
    </row>
    <row r="125" spans="1:17" x14ac:dyDescent="0.25">
      <c r="A125" s="14"/>
      <c r="B125" s="13"/>
      <c r="C125" s="13"/>
      <c r="D125" s="13"/>
      <c r="E125" s="13"/>
      <c r="G125" s="15"/>
      <c r="H125" s="13"/>
      <c r="I125" s="13"/>
      <c r="J125" s="13"/>
      <c r="K125" s="13"/>
    </row>
    <row r="126" spans="1:17" x14ac:dyDescent="0.25">
      <c r="A126" s="14"/>
      <c r="B126" s="13"/>
      <c r="C126" s="13"/>
      <c r="D126" s="13"/>
      <c r="E126" s="13"/>
      <c r="G126" s="15"/>
      <c r="H126" s="13"/>
      <c r="I126" s="13"/>
      <c r="J126" s="13"/>
      <c r="K126" s="13"/>
    </row>
    <row r="127" spans="1:17" x14ac:dyDescent="0.25">
      <c r="A127" s="16" t="s">
        <v>62</v>
      </c>
      <c r="B127" s="17"/>
      <c r="C127" s="17"/>
      <c r="D127" s="17"/>
      <c r="E127" s="17"/>
      <c r="G127" s="16" t="s">
        <v>61</v>
      </c>
      <c r="H127" s="19"/>
      <c r="I127" s="19"/>
      <c r="J127" s="19"/>
      <c r="K127" s="19"/>
    </row>
    <row r="128" spans="1:17" x14ac:dyDescent="0.25">
      <c r="A128" s="27" t="str">
        <f>Pooling_Month</f>
        <v>October 2025</v>
      </c>
      <c r="B128" s="28" t="s">
        <v>21</v>
      </c>
      <c r="C128" s="28" t="s">
        <v>22</v>
      </c>
      <c r="D128" s="28" t="s">
        <v>23</v>
      </c>
      <c r="E128" s="28" t="s">
        <v>54</v>
      </c>
      <c r="G128" s="27" t="str">
        <f>Pooling_Month</f>
        <v>October 2025</v>
      </c>
      <c r="H128" s="28" t="s">
        <v>21</v>
      </c>
      <c r="I128" s="28" t="s">
        <v>22</v>
      </c>
      <c r="J128" s="28" t="s">
        <v>23</v>
      </c>
      <c r="K128" s="28" t="s">
        <v>54</v>
      </c>
      <c r="P128" s="100" t="s">
        <v>165</v>
      </c>
      <c r="Q128" s="100" t="s">
        <v>166</v>
      </c>
    </row>
    <row r="129" spans="1:17" x14ac:dyDescent="0.25">
      <c r="A129" s="31" t="s">
        <v>60</v>
      </c>
      <c r="B129" s="32">
        <v>0.48839999999999995</v>
      </c>
      <c r="C129" s="32">
        <v>0.17040000000000002</v>
      </c>
      <c r="D129" s="32">
        <v>0.34119999999999995</v>
      </c>
      <c r="E129" s="13">
        <f>SUM(B129:D129)</f>
        <v>0.99999999999999989</v>
      </c>
      <c r="G129" s="31" t="s">
        <v>60</v>
      </c>
      <c r="H129" s="32">
        <v>0.87899999999999989</v>
      </c>
      <c r="I129" s="32">
        <v>-6.1999999999999972E-3</v>
      </c>
      <c r="J129" s="32">
        <v>0.12720000000000001</v>
      </c>
      <c r="K129" s="13">
        <f>SUM(H129:J129)</f>
        <v>0.99999999999999989</v>
      </c>
      <c r="M129" s="30"/>
      <c r="O129" s="99"/>
      <c r="P129" s="13">
        <f>1-E129</f>
        <v>0</v>
      </c>
      <c r="Q129" s="227">
        <f>1-K129</f>
        <v>0</v>
      </c>
    </row>
    <row r="130" spans="1:17" ht="16.5" customHeight="1" x14ac:dyDescent="0.25"/>
    <row r="131" spans="1:17" ht="15.75" hidden="1" customHeight="1" x14ac:dyDescent="0.25">
      <c r="L131" t="s">
        <v>197</v>
      </c>
      <c r="M131" s="100"/>
      <c r="N131" s="100"/>
      <c r="O131" s="100"/>
      <c r="P131" s="100"/>
      <c r="Q131" s="100"/>
    </row>
    <row r="132" spans="1:17" ht="30" hidden="1" x14ac:dyDescent="0.25">
      <c r="A132" s="40" t="s">
        <v>213</v>
      </c>
      <c r="B132" s="13">
        <f>B111-B109</f>
        <v>-2.3300000000000098E-2</v>
      </c>
      <c r="C132" s="13">
        <f t="shared" ref="C132:K132" si="11">C111-C109</f>
        <v>-3.209999999999999E-2</v>
      </c>
      <c r="D132" s="13">
        <f t="shared" si="11"/>
        <v>5.5399999999999949E-2</v>
      </c>
      <c r="E132" s="13">
        <f t="shared" si="11"/>
        <v>0</v>
      </c>
      <c r="F132" s="13"/>
      <c r="G132" s="13"/>
      <c r="H132" s="13">
        <f t="shared" si="11"/>
        <v>2.3599999999999954E-2</v>
      </c>
      <c r="I132" s="13">
        <f t="shared" si="11"/>
        <v>-2.5599999999999998E-2</v>
      </c>
      <c r="J132" s="13">
        <f t="shared" si="11"/>
        <v>2.0000000000000018E-3</v>
      </c>
      <c r="K132" s="13">
        <f t="shared" si="11"/>
        <v>0</v>
      </c>
      <c r="M132" s="30"/>
      <c r="O132" s="99"/>
      <c r="Q132" s="30"/>
    </row>
    <row r="133" spans="1:17" ht="15.75" hidden="1" customHeight="1" x14ac:dyDescent="0.25">
      <c r="A133" s="93" t="s">
        <v>214</v>
      </c>
      <c r="B133" s="13">
        <f>B121</f>
        <v>0.51170000000000004</v>
      </c>
      <c r="C133" s="13">
        <f t="shared" ref="C133:K133" si="12">C121</f>
        <v>0.20250000000000001</v>
      </c>
      <c r="D133" s="13">
        <f t="shared" si="12"/>
        <v>0.2858</v>
      </c>
      <c r="E133" s="13">
        <f t="shared" si="12"/>
        <v>1</v>
      </c>
      <c r="F133" s="13"/>
      <c r="G133" s="13"/>
      <c r="H133" s="13">
        <f t="shared" si="12"/>
        <v>0.85539999999999994</v>
      </c>
      <c r="I133" s="13">
        <f t="shared" si="12"/>
        <v>1.9400000000000001E-2</v>
      </c>
      <c r="J133" s="13">
        <f t="shared" si="12"/>
        <v>0.12520000000000001</v>
      </c>
      <c r="K133" s="13">
        <f t="shared" si="12"/>
        <v>0.99999999999999989</v>
      </c>
      <c r="M133" s="30">
        <f>C133/I133</f>
        <v>10.438144329896907</v>
      </c>
      <c r="N133" s="228"/>
      <c r="O133" s="99">
        <f>C133/I133</f>
        <v>10.438144329896907</v>
      </c>
      <c r="Q133" s="30"/>
    </row>
    <row r="134" spans="1:17" hidden="1" x14ac:dyDescent="0.25">
      <c r="A134" s="269" t="s">
        <v>205</v>
      </c>
      <c r="B134" s="257">
        <f>SUM(B132:B133)</f>
        <v>0.48839999999999995</v>
      </c>
      <c r="C134" s="257">
        <f t="shared" ref="C134:J134" si="13">SUM(C132:C133)</f>
        <v>0.17040000000000002</v>
      </c>
      <c r="D134" s="257">
        <f t="shared" si="13"/>
        <v>0.34119999999999995</v>
      </c>
      <c r="E134" s="257">
        <f t="shared" si="13"/>
        <v>1</v>
      </c>
      <c r="F134" s="257"/>
      <c r="G134" s="257"/>
      <c r="H134" s="257">
        <f t="shared" si="13"/>
        <v>0.87899999999999989</v>
      </c>
      <c r="I134" s="257">
        <f t="shared" si="13"/>
        <v>-6.1999999999999972E-3</v>
      </c>
      <c r="J134" s="257">
        <f t="shared" si="13"/>
        <v>0.12720000000000001</v>
      </c>
      <c r="K134" s="13">
        <f t="shared" ref="K134" si="14">SUM(K132:K133)</f>
        <v>0.99999999999999989</v>
      </c>
      <c r="M134" s="30">
        <f>C134/I134</f>
        <v>-27.48387096774195</v>
      </c>
      <c r="O134" s="99">
        <f>C134/I134</f>
        <v>-27.48387096774195</v>
      </c>
      <c r="Q134" s="30"/>
    </row>
    <row r="135" spans="1:17" hidden="1" x14ac:dyDescent="0.25">
      <c r="A135" s="92" t="s">
        <v>206</v>
      </c>
      <c r="B135" s="13">
        <f>B111</f>
        <v>0.53769999999999996</v>
      </c>
      <c r="C135" s="13">
        <f t="shared" ref="C135:K135" si="15">C111</f>
        <v>0.15260000000000001</v>
      </c>
      <c r="D135" s="13">
        <f t="shared" si="15"/>
        <v>0.30969999999999998</v>
      </c>
      <c r="E135" s="13">
        <f t="shared" si="15"/>
        <v>0.99999999999999989</v>
      </c>
      <c r="F135" s="13"/>
      <c r="G135" s="13"/>
      <c r="H135" s="13">
        <f t="shared" si="15"/>
        <v>0.91930000000000001</v>
      </c>
      <c r="I135" s="13">
        <f t="shared" si="15"/>
        <v>7.7999999999999996E-3</v>
      </c>
      <c r="J135" s="13">
        <f t="shared" si="15"/>
        <v>7.2900000000000006E-2</v>
      </c>
      <c r="K135" s="13">
        <f t="shared" si="15"/>
        <v>1</v>
      </c>
      <c r="M135" s="30">
        <f>C135/I135</f>
        <v>19.564102564102566</v>
      </c>
      <c r="N135" s="228"/>
      <c r="O135" s="99">
        <f>C135/I135</f>
        <v>19.564102564102566</v>
      </c>
      <c r="Q135" s="30"/>
    </row>
    <row r="136" spans="1:17" hidden="1" x14ac:dyDescent="0.25">
      <c r="A136" t="s">
        <v>83</v>
      </c>
      <c r="B136" s="257">
        <f>AVERAGE(B134:B135)</f>
        <v>0.51305000000000001</v>
      </c>
      <c r="C136" s="257">
        <f t="shared" ref="C136:D136" si="16">AVERAGE(C134:C135)</f>
        <v>0.16150000000000003</v>
      </c>
      <c r="D136" s="257">
        <f t="shared" si="16"/>
        <v>0.32544999999999996</v>
      </c>
      <c r="E136" s="13">
        <f t="shared" ref="E136:J136" si="17">AVERAGE(E134:E135)</f>
        <v>1</v>
      </c>
      <c r="F136" s="257"/>
      <c r="G136" s="257"/>
      <c r="H136" s="257">
        <f t="shared" si="17"/>
        <v>0.89914999999999989</v>
      </c>
      <c r="I136" s="257">
        <f t="shared" si="17"/>
        <v>8.0000000000000123E-4</v>
      </c>
      <c r="J136" s="257">
        <f t="shared" si="17"/>
        <v>0.10005</v>
      </c>
      <c r="K136" s="13">
        <f>AVERAGE(K134:K135)</f>
        <v>1</v>
      </c>
      <c r="L136" s="257"/>
      <c r="M136" s="30"/>
      <c r="O136" s="99"/>
      <c r="Q136" s="30"/>
    </row>
    <row r="137" spans="1:17" hidden="1" x14ac:dyDescent="0.25">
      <c r="E137" s="13"/>
      <c r="K137" s="13"/>
    </row>
    <row r="138" spans="1:17" hidden="1" x14ac:dyDescent="0.25">
      <c r="A138" s="92" t="s">
        <v>207</v>
      </c>
      <c r="B138" s="13">
        <f>B99</f>
        <v>0.5786</v>
      </c>
      <c r="C138" s="13">
        <f t="shared" ref="C138:K138" si="18">C99</f>
        <v>0.1389</v>
      </c>
      <c r="D138" s="13">
        <f t="shared" si="18"/>
        <v>0.28249999999999997</v>
      </c>
      <c r="E138" s="13">
        <f t="shared" si="18"/>
        <v>1</v>
      </c>
      <c r="F138" s="13"/>
      <c r="G138" s="13"/>
      <c r="H138" s="13">
        <f t="shared" si="18"/>
        <v>0.92349999999999999</v>
      </c>
      <c r="I138" s="13">
        <f t="shared" si="18"/>
        <v>6.4999999999999997E-3</v>
      </c>
      <c r="J138" s="13">
        <f t="shared" si="18"/>
        <v>7.0000000000000007E-2</v>
      </c>
      <c r="K138" s="13">
        <f t="shared" si="18"/>
        <v>1</v>
      </c>
      <c r="M138" s="30">
        <f>C138/I138</f>
        <v>21.369230769230768</v>
      </c>
      <c r="N138" s="228"/>
      <c r="O138" s="99">
        <f>C138/I138</f>
        <v>21.369230769230768</v>
      </c>
    </row>
    <row r="139" spans="1:17" hidden="1" x14ac:dyDescent="0.25">
      <c r="A139" s="91" t="s">
        <v>208</v>
      </c>
      <c r="B139" s="13">
        <f>B87</f>
        <v>0.48110000000000003</v>
      </c>
      <c r="C139" s="13">
        <f t="shared" ref="C139:K139" si="19">C87</f>
        <v>0.1229</v>
      </c>
      <c r="D139" s="13">
        <f t="shared" si="19"/>
        <v>0.39600000000000002</v>
      </c>
      <c r="E139" s="13">
        <f t="shared" si="19"/>
        <v>1</v>
      </c>
      <c r="F139" s="13"/>
      <c r="G139" s="13"/>
      <c r="H139" s="13">
        <f t="shared" si="19"/>
        <v>0.86630000000000007</v>
      </c>
      <c r="I139" s="13">
        <f t="shared" si="19"/>
        <v>3.1199999999999999E-2</v>
      </c>
      <c r="J139" s="13">
        <f t="shared" si="19"/>
        <v>0.10249999999999999</v>
      </c>
      <c r="K139" s="13">
        <f t="shared" si="19"/>
        <v>1</v>
      </c>
      <c r="M139" s="30">
        <f>C139/I139</f>
        <v>3.9391025641025643</v>
      </c>
      <c r="N139" s="228"/>
      <c r="O139" s="99">
        <f>C139/I139</f>
        <v>3.9391025641025643</v>
      </c>
    </row>
    <row r="140" spans="1:17" ht="30" hidden="1" x14ac:dyDescent="0.25">
      <c r="A140" s="40" t="s">
        <v>209</v>
      </c>
      <c r="B140" s="13">
        <f>AVERAGE(B134,B135,B138,B139)</f>
        <v>0.52144999999999997</v>
      </c>
      <c r="C140" s="13">
        <f t="shared" ref="C140:D140" si="20">AVERAGE(C134,C135,C138,C139)</f>
        <v>0.14620000000000002</v>
      </c>
      <c r="D140" s="13">
        <f t="shared" si="20"/>
        <v>0.33234999999999998</v>
      </c>
      <c r="E140" s="13">
        <f t="shared" ref="E140:K140" si="21">AVERAGE(E134,E135,E138,E139)</f>
        <v>1</v>
      </c>
      <c r="F140" s="13"/>
      <c r="G140" s="13"/>
      <c r="H140" s="13">
        <f t="shared" si="21"/>
        <v>0.89702499999999996</v>
      </c>
      <c r="I140" s="13">
        <f t="shared" si="21"/>
        <v>9.8250000000000004E-3</v>
      </c>
      <c r="J140" s="13">
        <f t="shared" si="21"/>
        <v>9.3149999999999997E-2</v>
      </c>
      <c r="K140" s="13">
        <f t="shared" si="21"/>
        <v>1</v>
      </c>
    </row>
    <row r="141" spans="1:17" ht="30" hidden="1" x14ac:dyDescent="0.25">
      <c r="A141" s="40" t="s">
        <v>210</v>
      </c>
      <c r="B141" s="13">
        <f>AVERAGE(B134,B135,B138)</f>
        <v>0.53490000000000004</v>
      </c>
      <c r="C141" s="13">
        <f t="shared" ref="C141:D141" si="22">AVERAGE(C134,C135,C138)</f>
        <v>0.1539666666666667</v>
      </c>
      <c r="D141" s="13">
        <f t="shared" si="22"/>
        <v>0.31113333333333332</v>
      </c>
      <c r="E141" s="13">
        <f t="shared" ref="E141:K141" si="23">AVERAGE(E134,E135,E138)</f>
        <v>1</v>
      </c>
      <c r="F141" s="13"/>
      <c r="G141" s="13"/>
      <c r="H141" s="13">
        <f t="shared" si="23"/>
        <v>0.90726666666666667</v>
      </c>
      <c r="I141" s="13">
        <f t="shared" si="23"/>
        <v>2.700000000000001E-3</v>
      </c>
      <c r="J141" s="13">
        <f t="shared" si="23"/>
        <v>9.003333333333334E-2</v>
      </c>
      <c r="K141" s="13">
        <f t="shared" si="23"/>
        <v>1</v>
      </c>
    </row>
    <row r="144" spans="1:17" x14ac:dyDescent="0.25">
      <c r="B144" s="227"/>
    </row>
  </sheetData>
  <sheetProtection algorithmName="SHA-512" hashValue="P9xkpMYfVZbvSdVmEp30KKa7+2cDjdbIGvf/IToaxRQ4EaKtjfd36jCvzHbZo8hausayJIFDMvZMt3siWpvg/w==" saltValue="GPd0ZdT40WrgBxTdr5g2Pw=="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9" tint="0.39997558519241921"/>
  </sheetPr>
  <dimension ref="A1:E161"/>
  <sheetViews>
    <sheetView topLeftCell="A127" workbookViewId="0">
      <selection activeCell="A150" sqref="A150:XFD161"/>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2" x14ac:dyDescent="0.25">
      <c r="A129" s="14">
        <v>45444</v>
      </c>
      <c r="B129" s="25">
        <v>3.9065999999999997E-2</v>
      </c>
    </row>
    <row r="130" spans="1:2" x14ac:dyDescent="0.25">
      <c r="A130" s="14">
        <v>45474</v>
      </c>
      <c r="B130" s="25">
        <v>3.8640000000000001E-2</v>
      </c>
    </row>
    <row r="131" spans="1:2" x14ac:dyDescent="0.25">
      <c r="A131" s="14">
        <v>45505</v>
      </c>
      <c r="B131" s="25">
        <v>3.8317999999999998E-2</v>
      </c>
    </row>
    <row r="132" spans="1:2" x14ac:dyDescent="0.25">
      <c r="A132" s="14">
        <v>45536</v>
      </c>
      <c r="B132" s="25">
        <v>3.9378000000000003E-2</v>
      </c>
    </row>
    <row r="133" spans="1:2" x14ac:dyDescent="0.25">
      <c r="A133" s="14">
        <v>45566</v>
      </c>
      <c r="B133" s="25">
        <v>4.0328999999999997E-2</v>
      </c>
    </row>
    <row r="134" spans="1:2" x14ac:dyDescent="0.25">
      <c r="A134" s="14">
        <v>45597</v>
      </c>
      <c r="B134" s="25">
        <v>4.0876999999999997E-2</v>
      </c>
    </row>
    <row r="135" spans="1:2" x14ac:dyDescent="0.25">
      <c r="A135" s="14">
        <v>45627</v>
      </c>
      <c r="B135" s="25">
        <v>4.0756000000000001E-2</v>
      </c>
    </row>
    <row r="136" spans="1:2" x14ac:dyDescent="0.25">
      <c r="A136" s="14">
        <v>45658</v>
      </c>
      <c r="B136" s="25">
        <v>4.0280000000000003E-2</v>
      </c>
    </row>
    <row r="137" spans="1:2" x14ac:dyDescent="0.25">
      <c r="A137" s="14">
        <v>45689</v>
      </c>
      <c r="B137" s="25">
        <v>4.0393999999999999E-2</v>
      </c>
    </row>
    <row r="138" spans="1:2" x14ac:dyDescent="0.25">
      <c r="A138" s="14">
        <v>45717</v>
      </c>
      <c r="B138" s="25">
        <v>4.0131E-2</v>
      </c>
    </row>
    <row r="139" spans="1:2" x14ac:dyDescent="0.25">
      <c r="A139" s="14">
        <v>45748</v>
      </c>
      <c r="B139" s="25">
        <v>4.0289999999999999E-2</v>
      </c>
    </row>
    <row r="140" spans="1:2" x14ac:dyDescent="0.25">
      <c r="A140" s="14">
        <v>45778</v>
      </c>
      <c r="B140" s="25">
        <v>3.9844999999999998E-2</v>
      </c>
    </row>
    <row r="141" spans="1:2" x14ac:dyDescent="0.25">
      <c r="A141" s="14">
        <v>45809</v>
      </c>
      <c r="B141" s="25">
        <v>3.9418000000000002E-2</v>
      </c>
    </row>
    <row r="142" spans="1:2" x14ac:dyDescent="0.25">
      <c r="A142" s="14">
        <v>45839</v>
      </c>
      <c r="B142" s="25">
        <v>3.9036000000000001E-2</v>
      </c>
    </row>
    <row r="143" spans="1:2" x14ac:dyDescent="0.25">
      <c r="A143" s="14">
        <v>45870</v>
      </c>
      <c r="B143" s="25">
        <v>3.9201E-2</v>
      </c>
    </row>
    <row r="144" spans="1:2" x14ac:dyDescent="0.25">
      <c r="A144" s="14"/>
      <c r="B144" s="25"/>
    </row>
    <row r="145" spans="1:5" x14ac:dyDescent="0.25">
      <c r="A145" s="14"/>
      <c r="B145" s="25"/>
    </row>
    <row r="146" spans="1:5" x14ac:dyDescent="0.25">
      <c r="A146" s="261"/>
      <c r="B146" s="25"/>
    </row>
    <row r="147" spans="1:5" ht="45" x14ac:dyDescent="0.25">
      <c r="A147" s="27" t="str">
        <f>Pooling_Month</f>
        <v>October 2025</v>
      </c>
      <c r="B147" s="20" t="s">
        <v>65</v>
      </c>
    </row>
    <row r="148" spans="1:5" ht="14.1" customHeight="1" x14ac:dyDescent="0.25">
      <c r="A148" s="31" t="s">
        <v>60</v>
      </c>
      <c r="B148" s="32">
        <f>B153</f>
        <v>4.1211999999999999E-2</v>
      </c>
    </row>
    <row r="150" spans="1:5" ht="14.25" hidden="1" customHeight="1" x14ac:dyDescent="0.25">
      <c r="E150" t="s">
        <v>192</v>
      </c>
    </row>
    <row r="151" spans="1:5" ht="30" hidden="1" x14ac:dyDescent="0.25">
      <c r="A151" s="40" t="s">
        <v>213</v>
      </c>
      <c r="B151" s="25">
        <f>B133-B131</f>
        <v>2.0109999999999989E-3</v>
      </c>
    </row>
    <row r="152" spans="1:5" hidden="1" x14ac:dyDescent="0.25">
      <c r="A152" s="93" t="s">
        <v>214</v>
      </c>
      <c r="B152" s="25">
        <f>B143</f>
        <v>3.9201E-2</v>
      </c>
    </row>
    <row r="153" spans="1:5" hidden="1" x14ac:dyDescent="0.25">
      <c r="A153" s="269" t="s">
        <v>211</v>
      </c>
      <c r="B153" s="25">
        <f>SUM(B151:B152)</f>
        <v>4.1211999999999999E-2</v>
      </c>
    </row>
    <row r="154" spans="1:5" hidden="1" x14ac:dyDescent="0.25">
      <c r="A154" s="92" t="s">
        <v>206</v>
      </c>
      <c r="B154" s="25">
        <f>B133</f>
        <v>4.0328999999999997E-2</v>
      </c>
    </row>
    <row r="155" spans="1:5" hidden="1" x14ac:dyDescent="0.25">
      <c r="A155" t="s">
        <v>83</v>
      </c>
      <c r="B155" s="25">
        <f>AVERAGE(B153:B154)</f>
        <v>4.0770500000000001E-2</v>
      </c>
    </row>
    <row r="156" spans="1:5" hidden="1" x14ac:dyDescent="0.25">
      <c r="B156" s="25"/>
    </row>
    <row r="157" spans="1:5" hidden="1" x14ac:dyDescent="0.25">
      <c r="A157" s="92" t="s">
        <v>207</v>
      </c>
      <c r="B157" s="25">
        <f>B121</f>
        <v>4.0426999999999998E-2</v>
      </c>
    </row>
    <row r="158" spans="1:5" hidden="1" x14ac:dyDescent="0.25">
      <c r="A158" s="91" t="s">
        <v>208</v>
      </c>
      <c r="B158" s="25">
        <f>B109</f>
        <v>3.9205000000000004E-2</v>
      </c>
    </row>
    <row r="159" spans="1:5" ht="30" hidden="1" x14ac:dyDescent="0.25">
      <c r="A159" s="40" t="s">
        <v>209</v>
      </c>
      <c r="B159" s="25">
        <f>(B153+B154+B157+B158)/4</f>
        <v>4.0293250000000003E-2</v>
      </c>
    </row>
    <row r="160" spans="1:5" hidden="1" x14ac:dyDescent="0.25">
      <c r="A160" s="40" t="s">
        <v>212</v>
      </c>
      <c r="B160" s="25">
        <f>(B153+B154+B157)/3</f>
        <v>4.0655999999999998E-2</v>
      </c>
    </row>
    <row r="161" spans="1:1" hidden="1" x14ac:dyDescent="0.25">
      <c r="A161" s="40"/>
    </row>
  </sheetData>
  <sheetProtection algorithmName="SHA-512" hashValue="aQdLO1teWmWkg5IKu28rzo/ekR4v9vC6LRKH7AwHm3Z0aO8XUQ3xwScjStAgilDFgSnhaigmLov0xV7niJT8qw==" saltValue="cPVwAKMoA99CuWB2RhU46g=="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9" tint="0.39997558519241921"/>
    <pageSetUpPr fitToPage="1"/>
  </sheetPr>
  <dimension ref="A1:F161"/>
  <sheetViews>
    <sheetView topLeftCell="A127" workbookViewId="0">
      <selection activeCell="A151" sqref="A151:XFD157"/>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2" x14ac:dyDescent="0.25">
      <c r="A129" s="14">
        <v>45444</v>
      </c>
      <c r="B129" s="21">
        <v>529125</v>
      </c>
    </row>
    <row r="130" spans="1:2" x14ac:dyDescent="0.25">
      <c r="A130" s="14">
        <v>45474</v>
      </c>
      <c r="B130" s="21">
        <v>527724</v>
      </c>
    </row>
    <row r="131" spans="1:2" x14ac:dyDescent="0.25">
      <c r="A131" s="14">
        <v>45505</v>
      </c>
      <c r="B131" s="21">
        <v>504387</v>
      </c>
    </row>
    <row r="132" spans="1:2" x14ac:dyDescent="0.25">
      <c r="A132" s="14">
        <v>45536</v>
      </c>
      <c r="B132" s="21">
        <v>505714</v>
      </c>
    </row>
    <row r="133" spans="1:2" x14ac:dyDescent="0.25">
      <c r="A133" s="14">
        <v>45566</v>
      </c>
      <c r="B133" s="21">
        <v>501102</v>
      </c>
    </row>
    <row r="134" spans="1:2" x14ac:dyDescent="0.25">
      <c r="A134" s="14">
        <v>45597</v>
      </c>
      <c r="B134" s="21">
        <v>499886</v>
      </c>
    </row>
    <row r="135" spans="1:2" x14ac:dyDescent="0.25">
      <c r="A135" s="14">
        <v>45627</v>
      </c>
      <c r="B135" s="21">
        <v>517303</v>
      </c>
    </row>
    <row r="136" spans="1:2" x14ac:dyDescent="0.25">
      <c r="A136" s="14">
        <v>45658</v>
      </c>
      <c r="B136" s="21">
        <v>520574</v>
      </c>
    </row>
    <row r="137" spans="1:2" x14ac:dyDescent="0.25">
      <c r="A137" s="14">
        <v>45689</v>
      </c>
      <c r="B137" s="21">
        <v>514814</v>
      </c>
    </row>
    <row r="138" spans="1:2" x14ac:dyDescent="0.25">
      <c r="A138" s="14">
        <v>45717</v>
      </c>
      <c r="B138" s="21">
        <v>515407</v>
      </c>
    </row>
    <row r="139" spans="1:2" x14ac:dyDescent="0.25">
      <c r="A139" s="14">
        <v>45748</v>
      </c>
      <c r="B139" s="21">
        <v>512681</v>
      </c>
    </row>
    <row r="140" spans="1:2" x14ac:dyDescent="0.25">
      <c r="A140" s="14">
        <v>45778</v>
      </c>
      <c r="B140" s="21">
        <v>517315</v>
      </c>
    </row>
    <row r="141" spans="1:2" x14ac:dyDescent="0.25">
      <c r="A141" s="14">
        <v>45809</v>
      </c>
      <c r="B141" s="21">
        <v>514782</v>
      </c>
    </row>
    <row r="142" spans="1:2" x14ac:dyDescent="0.25">
      <c r="A142" s="14">
        <v>45839</v>
      </c>
      <c r="B142" s="21">
        <v>514831</v>
      </c>
    </row>
    <row r="143" spans="1:2" x14ac:dyDescent="0.25">
      <c r="A143" s="14">
        <v>45870</v>
      </c>
      <c r="B143" s="21">
        <v>499455</v>
      </c>
    </row>
    <row r="144" spans="1:2" x14ac:dyDescent="0.25">
      <c r="A144" s="14"/>
      <c r="B144" s="21"/>
    </row>
    <row r="145" spans="1:6" x14ac:dyDescent="0.25">
      <c r="A145" s="14"/>
      <c r="B145" s="21"/>
    </row>
    <row r="146" spans="1:6" x14ac:dyDescent="0.25">
      <c r="A146" s="14"/>
      <c r="B146" s="21"/>
    </row>
    <row r="147" spans="1:6" ht="45" x14ac:dyDescent="0.25">
      <c r="A147" s="27" t="str">
        <f>Pooling_Month</f>
        <v>October 2025</v>
      </c>
      <c r="B147" s="20" t="s">
        <v>67</v>
      </c>
    </row>
    <row r="148" spans="1:6" x14ac:dyDescent="0.25">
      <c r="A148" s="31" t="s">
        <v>60</v>
      </c>
      <c r="B148" s="33">
        <f>B154</f>
        <v>496170</v>
      </c>
    </row>
    <row r="149" spans="1:6" x14ac:dyDescent="0.25">
      <c r="B149" s="267"/>
    </row>
    <row r="150" spans="1:6" ht="17.25" customHeight="1" x14ac:dyDescent="0.25"/>
    <row r="151" spans="1:6" hidden="1" x14ac:dyDescent="0.25"/>
    <row r="152" spans="1:6" ht="30" hidden="1" x14ac:dyDescent="0.25">
      <c r="A152" s="40" t="s">
        <v>213</v>
      </c>
      <c r="B152" s="217">
        <f>B133-B131</f>
        <v>-3285</v>
      </c>
      <c r="D152" t="s">
        <v>190</v>
      </c>
    </row>
    <row r="153" spans="1:6" hidden="1" x14ac:dyDescent="0.25">
      <c r="A153" s="93" t="s">
        <v>214</v>
      </c>
      <c r="B153" s="94">
        <f>B143</f>
        <v>499455</v>
      </c>
    </row>
    <row r="154" spans="1:6" hidden="1" x14ac:dyDescent="0.25">
      <c r="A154" s="269" t="s">
        <v>211</v>
      </c>
      <c r="B154" s="94">
        <f>SUM(B152:B153)</f>
        <v>496170</v>
      </c>
      <c r="C154" s="101"/>
      <c r="D154" s="101"/>
    </row>
    <row r="155" spans="1:6" hidden="1" x14ac:dyDescent="0.25">
      <c r="A155" s="92" t="s">
        <v>206</v>
      </c>
      <c r="B155" s="94">
        <f>B133</f>
        <v>501102</v>
      </c>
      <c r="C155" s="101"/>
      <c r="D155" s="101"/>
    </row>
    <row r="156" spans="1:6" hidden="1" x14ac:dyDescent="0.25">
      <c r="A156" t="s">
        <v>83</v>
      </c>
      <c r="B156" s="94">
        <f>AVERAGE(B154:B155)</f>
        <v>498636</v>
      </c>
      <c r="D156" s="101"/>
    </row>
    <row r="157" spans="1:6" hidden="1" x14ac:dyDescent="0.25">
      <c r="D157" s="101"/>
    </row>
    <row r="158" spans="1:6" x14ac:dyDescent="0.25">
      <c r="A158" s="92"/>
      <c r="D158" s="101"/>
      <c r="E158" s="94"/>
      <c r="F158" s="94"/>
    </row>
    <row r="159" spans="1:6" x14ac:dyDescent="0.25">
      <c r="A159" s="91"/>
    </row>
    <row r="160" spans="1:6" x14ac:dyDescent="0.25">
      <c r="A160" s="40"/>
    </row>
    <row r="161" spans="1:1" x14ac:dyDescent="0.25">
      <c r="A161" s="40"/>
    </row>
  </sheetData>
  <sheetProtection algorithmName="SHA-512" hashValue="A4fSDAO+JMuq+MbJ1t0yAz1t1pwqDb9Bq1jh5zoxFBOVmAvQ8jE7EDlBNgnC6vDZJTw+7+40Hrf7s9STNm8nvQ==" saltValue="kPqNSiYr0xkj97MFB9DIxw=="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39997558519241921"/>
  </sheetPr>
  <dimension ref="A1:E169"/>
  <sheetViews>
    <sheetView topLeftCell="A129" workbookViewId="0">
      <selection activeCell="F165" sqref="F165"/>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2" x14ac:dyDescent="0.25">
      <c r="A129" s="14">
        <v>45444</v>
      </c>
      <c r="B129" s="25">
        <v>7.0410000000000004E-3</v>
      </c>
    </row>
    <row r="130" spans="1:2" x14ac:dyDescent="0.25">
      <c r="A130" s="14">
        <v>45474</v>
      </c>
      <c r="B130" s="25">
        <v>6.992E-3</v>
      </c>
    </row>
    <row r="131" spans="1:2" x14ac:dyDescent="0.25">
      <c r="A131" s="14">
        <v>45505</v>
      </c>
      <c r="B131" s="25">
        <v>8.9189999999999998E-3</v>
      </c>
    </row>
    <row r="132" spans="1:2" x14ac:dyDescent="0.25">
      <c r="A132" s="14">
        <v>45536</v>
      </c>
      <c r="B132" s="25">
        <v>7.4229999999999999E-3</v>
      </c>
    </row>
    <row r="133" spans="1:2" x14ac:dyDescent="0.25">
      <c r="A133" s="14">
        <v>45566</v>
      </c>
      <c r="B133" s="25">
        <v>6.6740000000000002E-3</v>
      </c>
    </row>
    <row r="134" spans="1:2" x14ac:dyDescent="0.25">
      <c r="A134" s="14">
        <v>45597</v>
      </c>
      <c r="B134" s="25">
        <v>8.3440000000000007E-3</v>
      </c>
    </row>
    <row r="135" spans="1:2" x14ac:dyDescent="0.25">
      <c r="A135" s="14">
        <v>45627</v>
      </c>
      <c r="B135" s="25">
        <v>1.7023E-2</v>
      </c>
    </row>
    <row r="136" spans="1:2" x14ac:dyDescent="0.25">
      <c r="A136" s="14">
        <v>45658</v>
      </c>
      <c r="B136" s="25">
        <v>1.0597000000000001E-2</v>
      </c>
    </row>
    <row r="137" spans="1:2" x14ac:dyDescent="0.25">
      <c r="A137" s="14">
        <v>45689</v>
      </c>
      <c r="B137" s="25">
        <v>5.6709999999999998E-3</v>
      </c>
    </row>
    <row r="138" spans="1:2" x14ac:dyDescent="0.25">
      <c r="A138" s="14">
        <v>45717</v>
      </c>
      <c r="B138" s="25">
        <v>1.0151E-2</v>
      </c>
    </row>
    <row r="139" spans="1:2" x14ac:dyDescent="0.25">
      <c r="A139" s="14">
        <v>45748</v>
      </c>
      <c r="B139" s="25">
        <v>7.6429999999999996E-3</v>
      </c>
    </row>
    <row r="140" spans="1:2" x14ac:dyDescent="0.25">
      <c r="A140" s="14">
        <v>45778</v>
      </c>
      <c r="B140" s="25">
        <v>1.1212E-2</v>
      </c>
    </row>
    <row r="141" spans="1:2" x14ac:dyDescent="0.25">
      <c r="A141" s="14">
        <v>45809</v>
      </c>
      <c r="B141" s="25">
        <v>7.7359999999999998E-3</v>
      </c>
    </row>
    <row r="142" spans="1:2" x14ac:dyDescent="0.25">
      <c r="A142" s="14">
        <v>45839</v>
      </c>
      <c r="B142" s="25">
        <v>1.477E-2</v>
      </c>
    </row>
    <row r="143" spans="1:2" x14ac:dyDescent="0.25">
      <c r="A143" s="14">
        <v>45870</v>
      </c>
      <c r="B143" s="25">
        <v>1.1377E-2</v>
      </c>
    </row>
    <row r="144" spans="1:2" x14ac:dyDescent="0.25">
      <c r="A144" s="14"/>
      <c r="B144" s="25"/>
    </row>
    <row r="145" spans="1:5" x14ac:dyDescent="0.25">
      <c r="A145" s="14"/>
      <c r="B145" s="25"/>
    </row>
    <row r="146" spans="1:5" x14ac:dyDescent="0.25">
      <c r="A146" s="14"/>
    </row>
    <row r="147" spans="1:5" ht="60" x14ac:dyDescent="0.25">
      <c r="A147" s="27" t="str">
        <f>Pooling_Month</f>
        <v>October 2025</v>
      </c>
      <c r="B147" s="29" t="s">
        <v>69</v>
      </c>
    </row>
    <row r="148" spans="1:5" x14ac:dyDescent="0.25">
      <c r="A148" s="31" t="s">
        <v>60</v>
      </c>
      <c r="B148" s="32">
        <f>B153</f>
        <v>9.1320000000000012E-3</v>
      </c>
    </row>
    <row r="149" spans="1:5" ht="15.75" customHeight="1" x14ac:dyDescent="0.25"/>
    <row r="150" spans="1:5" hidden="1" x14ac:dyDescent="0.25">
      <c r="E150" t="s">
        <v>193</v>
      </c>
    </row>
    <row r="151" spans="1:5" ht="30" hidden="1" x14ac:dyDescent="0.25">
      <c r="A151" s="40" t="s">
        <v>213</v>
      </c>
      <c r="B151" s="95">
        <f>B133-B131</f>
        <v>-2.2449999999999996E-3</v>
      </c>
    </row>
    <row r="152" spans="1:5" hidden="1" x14ac:dyDescent="0.25">
      <c r="A152" s="93" t="s">
        <v>214</v>
      </c>
      <c r="B152" s="95">
        <f>B143</f>
        <v>1.1377E-2</v>
      </c>
    </row>
    <row r="153" spans="1:5" hidden="1" x14ac:dyDescent="0.25">
      <c r="A153" s="269" t="s">
        <v>211</v>
      </c>
      <c r="B153" s="95">
        <f>SUM(B151:B152)</f>
        <v>9.1320000000000012E-3</v>
      </c>
    </row>
    <row r="154" spans="1:5" hidden="1" x14ac:dyDescent="0.25">
      <c r="A154" s="92" t="s">
        <v>206</v>
      </c>
      <c r="B154" s="95">
        <f>B133</f>
        <v>6.6740000000000002E-3</v>
      </c>
    </row>
    <row r="155" spans="1:5" hidden="1" x14ac:dyDescent="0.25">
      <c r="A155" s="92" t="s">
        <v>207</v>
      </c>
      <c r="B155" s="95">
        <f>B121</f>
        <v>3.8639999999999998E-3</v>
      </c>
    </row>
    <row r="156" spans="1:5" hidden="1" x14ac:dyDescent="0.25">
      <c r="A156" s="91" t="s">
        <v>208</v>
      </c>
      <c r="B156" s="95">
        <f>B109</f>
        <v>1.4170000000000001E-3</v>
      </c>
    </row>
    <row r="157" spans="1:5" ht="30" hidden="1" x14ac:dyDescent="0.25">
      <c r="A157" s="40" t="s">
        <v>209</v>
      </c>
      <c r="B157" s="95">
        <f>AVERAGE(B153:B156)</f>
        <v>5.2717500000000004E-3</v>
      </c>
    </row>
    <row r="158" spans="1:5" ht="30" hidden="1" x14ac:dyDescent="0.25">
      <c r="A158" s="40" t="s">
        <v>212</v>
      </c>
      <c r="B158" s="25">
        <f>AVERAGE(B153:B155)</f>
        <v>6.5566666666666664E-3</v>
      </c>
    </row>
    <row r="161" spans="1:1" x14ac:dyDescent="0.25">
      <c r="A161" s="40"/>
    </row>
    <row r="162" spans="1:1" x14ac:dyDescent="0.25">
      <c r="A162" s="93"/>
    </row>
    <row r="163" spans="1:1" x14ac:dyDescent="0.25">
      <c r="A163" s="91"/>
    </row>
    <row r="164" spans="1:1" x14ac:dyDescent="0.25">
      <c r="A164" s="92"/>
    </row>
    <row r="166" spans="1:1" x14ac:dyDescent="0.25">
      <c r="A166" s="92"/>
    </row>
    <row r="167" spans="1:1" x14ac:dyDescent="0.25">
      <c r="A167" s="92"/>
    </row>
    <row r="168" spans="1:1" x14ac:dyDescent="0.25">
      <c r="A168" s="91"/>
    </row>
    <row r="169" spans="1:1" x14ac:dyDescent="0.25">
      <c r="A169" s="40"/>
    </row>
  </sheetData>
  <sheetProtection algorithmName="SHA-512" hashValue="swTqfNpOwa6Lb+7s7UzmQMTH9TBmNsMwQl1RAIjORcXCXxyb6H8ZKXLyCONCFTkqRyAmBKuC3j/fcpHzf9LjVA==" saltValue="eYmF5UeVVCkfDcbZHW3Hbg=="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64"/>
  <sheetViews>
    <sheetView topLeftCell="A143" workbookViewId="0">
      <selection activeCell="A154" sqref="A154:XFD164"/>
    </sheetView>
  </sheetViews>
  <sheetFormatPr defaultRowHeight="15" x14ac:dyDescent="0.25"/>
  <cols>
    <col min="1" max="1" width="27" customWidth="1"/>
    <col min="2" max="2" width="17.85546875" customWidth="1"/>
    <col min="3" max="3" width="18" customWidth="1"/>
    <col min="5" max="5" width="35.42578125" customWidth="1"/>
    <col min="6" max="6" width="20.42578125" hidden="1" customWidth="1"/>
    <col min="9" max="9" width="9.140625" customWidth="1"/>
  </cols>
  <sheetData>
    <row r="1" spans="1:6" x14ac:dyDescent="0.25">
      <c r="A1" s="23" t="s">
        <v>55</v>
      </c>
      <c r="B1" s="23" t="s">
        <v>79</v>
      </c>
      <c r="E1" s="216" t="s">
        <v>201</v>
      </c>
    </row>
    <row r="2" spans="1:6" x14ac:dyDescent="0.25">
      <c r="A2" s="22" t="s">
        <v>56</v>
      </c>
      <c r="B2" s="22" t="s">
        <v>57</v>
      </c>
    </row>
    <row r="4" spans="1:6" ht="90" x14ac:dyDescent="0.25">
      <c r="A4" s="24" t="s">
        <v>0</v>
      </c>
      <c r="B4" s="20" t="s">
        <v>137</v>
      </c>
      <c r="C4" s="20" t="s">
        <v>138</v>
      </c>
      <c r="F4" s="28" t="s">
        <v>84</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5">
        <f t="shared" si="4"/>
        <v>1.7983983161785466</v>
      </c>
      <c r="J113" s="223"/>
    </row>
    <row r="114" spans="1:10" x14ac:dyDescent="0.25">
      <c r="A114" s="14">
        <v>44896</v>
      </c>
      <c r="B114" s="25">
        <v>0.13656199999999999</v>
      </c>
      <c r="C114" s="25">
        <v>0.24711</v>
      </c>
      <c r="F114" s="255">
        <f t="shared" si="4"/>
        <v>1.8095077693648307</v>
      </c>
    </row>
    <row r="115" spans="1:10" x14ac:dyDescent="0.25">
      <c r="A115" s="14">
        <v>44927</v>
      </c>
      <c r="B115" s="25">
        <v>0.22236600000000001</v>
      </c>
      <c r="C115" s="25">
        <v>0.392758</v>
      </c>
      <c r="F115" s="255">
        <f t="shared" si="4"/>
        <v>1.7662682244587751</v>
      </c>
    </row>
    <row r="116" spans="1:10" x14ac:dyDescent="0.25">
      <c r="A116" s="14">
        <v>44958</v>
      </c>
      <c r="B116" s="25">
        <v>0.190855</v>
      </c>
      <c r="C116" s="25">
        <v>0.319992</v>
      </c>
      <c r="F116" s="255">
        <f t="shared" si="4"/>
        <v>1.6766236147860942</v>
      </c>
    </row>
    <row r="117" spans="1:10" x14ac:dyDescent="0.25">
      <c r="A117" s="14">
        <v>44986</v>
      </c>
      <c r="B117" s="25">
        <v>0.19927400000000001</v>
      </c>
      <c r="C117" s="25">
        <v>0.35046500000000003</v>
      </c>
      <c r="F117" s="255">
        <f t="shared" si="4"/>
        <v>1.7587091140841256</v>
      </c>
    </row>
    <row r="118" spans="1:10" x14ac:dyDescent="0.25">
      <c r="A118" s="14">
        <v>45017</v>
      </c>
      <c r="B118" s="25">
        <v>0.23678299999999999</v>
      </c>
      <c r="C118" s="25">
        <v>0.41017100000000001</v>
      </c>
      <c r="F118" s="255">
        <f t="shared" si="4"/>
        <v>1.7322654075672663</v>
      </c>
    </row>
    <row r="119" spans="1:10" x14ac:dyDescent="0.25">
      <c r="A119" s="14">
        <v>45047</v>
      </c>
      <c r="B119" s="25">
        <v>0.21531</v>
      </c>
      <c r="C119" s="25">
        <v>0.361763</v>
      </c>
      <c r="F119" s="255">
        <f t="shared" si="4"/>
        <v>1.6801959964702058</v>
      </c>
    </row>
    <row r="120" spans="1:10" x14ac:dyDescent="0.25">
      <c r="A120" s="14">
        <v>45078</v>
      </c>
      <c r="B120" s="25">
        <v>0.29416700000000001</v>
      </c>
      <c r="C120" s="25">
        <v>0.48411900000000002</v>
      </c>
      <c r="F120" s="255">
        <f t="shared" ref="F120" si="6">C120/B120</f>
        <v>1.6457284467666327</v>
      </c>
    </row>
    <row r="121" spans="1:10" x14ac:dyDescent="0.25">
      <c r="A121" s="14">
        <v>45108</v>
      </c>
      <c r="B121" s="25">
        <v>0.22546099999999999</v>
      </c>
      <c r="C121" s="25">
        <v>0.38143899999999997</v>
      </c>
      <c r="F121" s="255">
        <f t="shared" ref="F121:F146" si="7">C121/B121</f>
        <v>1.6918180971431866</v>
      </c>
    </row>
    <row r="122" spans="1:10" x14ac:dyDescent="0.25">
      <c r="A122" s="14">
        <v>45139</v>
      </c>
      <c r="B122" s="25">
        <v>0.31855699999999998</v>
      </c>
      <c r="C122" s="25">
        <v>0.56603999999999999</v>
      </c>
      <c r="F122" s="255">
        <f t="shared" si="7"/>
        <v>1.7768876527591608</v>
      </c>
    </row>
    <row r="123" spans="1:10" x14ac:dyDescent="0.25">
      <c r="A123" s="14">
        <v>45170</v>
      </c>
      <c r="B123" s="25">
        <v>0.28491499999999997</v>
      </c>
      <c r="C123" s="25">
        <v>0.47492000000000001</v>
      </c>
      <c r="F123" s="255">
        <f t="shared" si="7"/>
        <v>1.6668831054876017</v>
      </c>
    </row>
    <row r="124" spans="1:10" x14ac:dyDescent="0.25">
      <c r="A124" s="14">
        <v>45200</v>
      </c>
      <c r="B124" s="25">
        <v>0.189442</v>
      </c>
      <c r="C124" s="25">
        <v>0.330953</v>
      </c>
      <c r="F124" s="255">
        <f t="shared" si="7"/>
        <v>1.746988524192101</v>
      </c>
    </row>
    <row r="125" spans="1:10" x14ac:dyDescent="0.25">
      <c r="A125" s="14">
        <v>45231</v>
      </c>
      <c r="B125" s="25">
        <v>0.200434</v>
      </c>
      <c r="C125" s="25">
        <v>0.35803600000000002</v>
      </c>
      <c r="F125" s="255">
        <f t="shared" si="7"/>
        <v>1.7863037209255916</v>
      </c>
    </row>
    <row r="126" spans="1:10" x14ac:dyDescent="0.25">
      <c r="A126" s="14">
        <v>45261</v>
      </c>
      <c r="B126" s="25">
        <v>0.179337</v>
      </c>
      <c r="C126" s="25">
        <v>0.31408700000000001</v>
      </c>
      <c r="F126" s="255">
        <f t="shared" si="7"/>
        <v>1.7513786892833048</v>
      </c>
    </row>
    <row r="127" spans="1:10" x14ac:dyDescent="0.25">
      <c r="A127" s="14">
        <v>45292</v>
      </c>
      <c r="B127" s="25">
        <v>0.19153300000000001</v>
      </c>
      <c r="C127" s="25">
        <v>0.33412700000000001</v>
      </c>
      <c r="F127" s="255">
        <f t="shared" si="7"/>
        <v>1.7444878950363645</v>
      </c>
    </row>
    <row r="128" spans="1:10" x14ac:dyDescent="0.25">
      <c r="A128" s="14">
        <v>45323</v>
      </c>
      <c r="B128" s="25">
        <v>0.194215</v>
      </c>
      <c r="C128" s="25">
        <v>0.33216299999999999</v>
      </c>
      <c r="F128" s="255">
        <f t="shared" si="7"/>
        <v>1.7102849934351105</v>
      </c>
    </row>
    <row r="129" spans="1:6" x14ac:dyDescent="0.25">
      <c r="A129" s="14">
        <v>45352</v>
      </c>
      <c r="B129" s="25">
        <v>0.20252700000000001</v>
      </c>
      <c r="C129" s="25">
        <v>0.34077000000000002</v>
      </c>
      <c r="F129" s="255">
        <f t="shared" si="7"/>
        <v>1.6825904694188922</v>
      </c>
    </row>
    <row r="130" spans="1:6" x14ac:dyDescent="0.25">
      <c r="A130" s="14">
        <v>45383</v>
      </c>
      <c r="B130" s="25">
        <v>0.16612399999999999</v>
      </c>
      <c r="C130" s="25">
        <v>0.28236</v>
      </c>
      <c r="F130" s="255">
        <f t="shared" si="7"/>
        <v>1.6996942043292962</v>
      </c>
    </row>
    <row r="131" spans="1:6" x14ac:dyDescent="0.25">
      <c r="A131" s="14">
        <v>45413</v>
      </c>
      <c r="B131" s="25">
        <v>0.169932</v>
      </c>
      <c r="C131" s="25">
        <v>0.28758</v>
      </c>
      <c r="F131" s="255">
        <f t="shared" si="7"/>
        <v>1.692323988418897</v>
      </c>
    </row>
    <row r="132" spans="1:6" x14ac:dyDescent="0.25">
      <c r="A132" s="14">
        <v>45444</v>
      </c>
      <c r="B132" s="25">
        <v>0.18463499999999999</v>
      </c>
      <c r="C132" s="25">
        <v>0.30538700000000002</v>
      </c>
      <c r="F132" s="255">
        <f t="shared" si="7"/>
        <v>1.6540038454247572</v>
      </c>
    </row>
    <row r="133" spans="1:6" x14ac:dyDescent="0.25">
      <c r="A133" s="14">
        <v>45474</v>
      </c>
      <c r="B133" s="25">
        <v>0.180337</v>
      </c>
      <c r="C133" s="25">
        <v>0.29386800000000002</v>
      </c>
      <c r="F133" s="255">
        <f t="shared" si="7"/>
        <v>1.6295491219217355</v>
      </c>
    </row>
    <row r="134" spans="1:6" x14ac:dyDescent="0.25">
      <c r="A134" s="14">
        <v>45505</v>
      </c>
      <c r="B134" s="25">
        <v>0.17039399999999999</v>
      </c>
      <c r="C134" s="25">
        <v>0.27133800000000002</v>
      </c>
      <c r="F134" s="255">
        <f t="shared" si="7"/>
        <v>1.5924152258882358</v>
      </c>
    </row>
    <row r="135" spans="1:6" x14ac:dyDescent="0.25">
      <c r="A135" s="14">
        <v>45536</v>
      </c>
      <c r="B135" s="25">
        <v>0.15028</v>
      </c>
      <c r="C135" s="25">
        <v>0.24710799999999999</v>
      </c>
      <c r="F135" s="255">
        <f t="shared" si="7"/>
        <v>1.6443172744210806</v>
      </c>
    </row>
    <row r="136" spans="1:6" x14ac:dyDescent="0.25">
      <c r="A136" s="14">
        <v>45566</v>
      </c>
      <c r="B136" s="25">
        <v>0.15873399999999999</v>
      </c>
      <c r="C136" s="25">
        <v>0.26858500000000002</v>
      </c>
      <c r="F136" s="255">
        <f t="shared" si="7"/>
        <v>1.6920445525218293</v>
      </c>
    </row>
    <row r="137" spans="1:6" x14ac:dyDescent="0.25">
      <c r="A137" s="14">
        <v>45597</v>
      </c>
      <c r="B137" s="25">
        <v>0.13459399999999999</v>
      </c>
      <c r="C137" s="25">
        <v>0.22809399999999999</v>
      </c>
      <c r="F137" s="255">
        <f t="shared" si="7"/>
        <v>1.6946817837347876</v>
      </c>
    </row>
    <row r="138" spans="1:6" x14ac:dyDescent="0.25">
      <c r="A138" s="14">
        <v>45627</v>
      </c>
      <c r="B138" s="25">
        <v>0.156751</v>
      </c>
      <c r="C138" s="25">
        <v>0.264677</v>
      </c>
      <c r="F138" s="255">
        <f t="shared" si="7"/>
        <v>1.6885187335328005</v>
      </c>
    </row>
    <row r="139" spans="1:6" x14ac:dyDescent="0.25">
      <c r="A139" s="14">
        <v>45658</v>
      </c>
      <c r="B139" s="25">
        <v>0.16590299999999999</v>
      </c>
      <c r="C139" s="25">
        <v>0.27596700000000002</v>
      </c>
      <c r="F139" s="255">
        <f t="shared" si="7"/>
        <v>1.6634238078877417</v>
      </c>
    </row>
    <row r="140" spans="1:6" x14ac:dyDescent="0.25">
      <c r="A140" s="14">
        <v>45689</v>
      </c>
      <c r="B140" s="25">
        <v>0.13581499999999999</v>
      </c>
      <c r="C140" s="25">
        <v>0.22577900000000001</v>
      </c>
      <c r="F140" s="255">
        <f t="shared" si="7"/>
        <v>1.6624010602658028</v>
      </c>
    </row>
    <row r="141" spans="1:6" x14ac:dyDescent="0.25">
      <c r="A141" s="14">
        <v>45717</v>
      </c>
      <c r="B141" s="25">
        <v>0.13731599999999999</v>
      </c>
      <c r="C141" s="25">
        <v>0.22591700000000001</v>
      </c>
      <c r="F141" s="255">
        <f t="shared" si="7"/>
        <v>1.6452343499665008</v>
      </c>
    </row>
    <row r="142" spans="1:6" x14ac:dyDescent="0.25">
      <c r="A142" s="14">
        <v>45748</v>
      </c>
      <c r="B142" s="25">
        <v>0.164406</v>
      </c>
      <c r="C142" s="25">
        <v>0.26031599999999999</v>
      </c>
      <c r="F142" s="255">
        <f t="shared" si="7"/>
        <v>1.5833728696032991</v>
      </c>
    </row>
    <row r="143" spans="1:6" x14ac:dyDescent="0.25">
      <c r="A143" s="14">
        <v>45778</v>
      </c>
      <c r="B143" s="25">
        <v>0.22048799999999999</v>
      </c>
      <c r="C143" s="25">
        <v>0.36788999999999999</v>
      </c>
      <c r="F143" s="255">
        <f t="shared" si="7"/>
        <v>1.6685261782954175</v>
      </c>
    </row>
    <row r="144" spans="1:6" x14ac:dyDescent="0.25">
      <c r="A144" s="14">
        <v>45809</v>
      </c>
      <c r="B144" s="25">
        <v>0.19037799999999999</v>
      </c>
      <c r="C144" s="25">
        <v>0.31047000000000002</v>
      </c>
      <c r="F144" s="255">
        <f t="shared" si="7"/>
        <v>1.6308081816176241</v>
      </c>
    </row>
    <row r="145" spans="1:11" x14ac:dyDescent="0.25">
      <c r="A145" s="14">
        <v>45839</v>
      </c>
      <c r="B145" s="25">
        <v>0.163878</v>
      </c>
      <c r="C145" s="25">
        <v>0.26559500000000003</v>
      </c>
      <c r="F145" s="255">
        <f t="shared" si="7"/>
        <v>1.6206873405826288</v>
      </c>
    </row>
    <row r="146" spans="1:11" x14ac:dyDescent="0.25">
      <c r="A146" s="14">
        <v>45870</v>
      </c>
      <c r="B146" s="25">
        <v>0.146621</v>
      </c>
      <c r="C146" s="25">
        <v>0.23671300000000001</v>
      </c>
      <c r="F146" s="255">
        <f t="shared" si="7"/>
        <v>1.614454955292898</v>
      </c>
    </row>
    <row r="147" spans="1:11" x14ac:dyDescent="0.25">
      <c r="A147" s="14"/>
      <c r="B147" s="25"/>
      <c r="C147" s="25"/>
      <c r="F147" s="255"/>
    </row>
    <row r="148" spans="1:11" x14ac:dyDescent="0.25">
      <c r="A148" s="14"/>
      <c r="B148" s="25"/>
      <c r="C148" s="25"/>
      <c r="F148" s="255"/>
    </row>
    <row r="149" spans="1:11" x14ac:dyDescent="0.25">
      <c r="A149" s="14"/>
      <c r="B149" s="25"/>
      <c r="C149" s="25"/>
      <c r="F149" s="255"/>
    </row>
    <row r="150" spans="1:11" x14ac:dyDescent="0.25">
      <c r="A150" s="256"/>
    </row>
    <row r="151" spans="1:11" ht="90" x14ac:dyDescent="0.25">
      <c r="A151" s="27" t="str">
        <f>Pooling_Month</f>
        <v>October 2025</v>
      </c>
      <c r="B151" s="20" t="s">
        <v>133</v>
      </c>
      <c r="C151" s="20" t="s">
        <v>134</v>
      </c>
    </row>
    <row r="152" spans="1:11" x14ac:dyDescent="0.25">
      <c r="A152" s="31" t="s">
        <v>60</v>
      </c>
      <c r="B152" s="32">
        <f>B157</f>
        <v>0.15221799999999999</v>
      </c>
      <c r="C152" s="32">
        <f>C157</f>
        <v>0.26284200000000002</v>
      </c>
      <c r="E152" s="30"/>
      <c r="F152" s="96">
        <f t="shared" ref="F152" si="8">C152/B152</f>
        <v>1.7267471652498392</v>
      </c>
    </row>
    <row r="153" spans="1:11" ht="18" customHeight="1" x14ac:dyDescent="0.25"/>
    <row r="154" spans="1:11" hidden="1" x14ac:dyDescent="0.25">
      <c r="E154" t="s">
        <v>194</v>
      </c>
    </row>
    <row r="155" spans="1:11" ht="30" hidden="1" x14ac:dyDescent="0.25">
      <c r="A155" s="40" t="s">
        <v>213</v>
      </c>
      <c r="B155" s="95">
        <f>B136-B134</f>
        <v>-1.1660000000000004E-2</v>
      </c>
      <c r="C155" s="95">
        <f>C136-C134</f>
        <v>-2.7530000000000054E-3</v>
      </c>
      <c r="F155" t="s">
        <v>189</v>
      </c>
    </row>
    <row r="156" spans="1:11" ht="15.75" hidden="1" thickBot="1" x14ac:dyDescent="0.3">
      <c r="A156" s="93" t="s">
        <v>214</v>
      </c>
      <c r="B156" s="95">
        <f>B145</f>
        <v>0.163878</v>
      </c>
      <c r="C156" s="95">
        <f>C145</f>
        <v>0.26559500000000003</v>
      </c>
      <c r="F156" s="255">
        <f t="shared" ref="F156" si="9">C156/B156</f>
        <v>1.6206873405826288</v>
      </c>
    </row>
    <row r="157" spans="1:11" ht="15.75" hidden="1" thickBot="1" x14ac:dyDescent="0.3">
      <c r="A157" s="269" t="s">
        <v>211</v>
      </c>
      <c r="B157" s="95">
        <f>SUM(B155:B156)</f>
        <v>0.15221799999999999</v>
      </c>
      <c r="C157" s="95">
        <f>SUM(C155:C156)</f>
        <v>0.26284200000000002</v>
      </c>
      <c r="E157" s="262" t="s">
        <v>199</v>
      </c>
      <c r="F157" s="263">
        <f t="shared" ref="F157:F158" si="10">C157/B157</f>
        <v>1.7267471652498392</v>
      </c>
      <c r="G157" s="264"/>
      <c r="H157" s="264"/>
      <c r="I157" s="264"/>
      <c r="J157" s="265"/>
      <c r="K157" s="266"/>
    </row>
    <row r="158" spans="1:11" hidden="1" x14ac:dyDescent="0.25">
      <c r="A158" s="92" t="s">
        <v>206</v>
      </c>
      <c r="B158" s="95">
        <f>B136</f>
        <v>0.15873399999999999</v>
      </c>
      <c r="C158" s="95">
        <f>C136</f>
        <v>0.26858500000000002</v>
      </c>
      <c r="F158" s="96">
        <f t="shared" si="10"/>
        <v>1.6920445525218293</v>
      </c>
    </row>
    <row r="159" spans="1:11" hidden="1" x14ac:dyDescent="0.25">
      <c r="A159" t="s">
        <v>83</v>
      </c>
      <c r="B159" s="95">
        <f>AVERAGE(B157:B158)</f>
        <v>0.155476</v>
      </c>
      <c r="C159" s="95">
        <f>AVERAGE(C157:C158)</f>
        <v>0.26571350000000005</v>
      </c>
      <c r="F159" s="96">
        <f>C159/B159</f>
        <v>1.7090322622141041</v>
      </c>
    </row>
    <row r="160" spans="1:11" hidden="1" x14ac:dyDescent="0.25">
      <c r="B160" s="95"/>
      <c r="C160" s="95"/>
      <c r="F160" s="96" t="e">
        <f t="shared" ref="F160" si="11">C160/B160</f>
        <v>#DIV/0!</v>
      </c>
    </row>
    <row r="161" spans="1:6" hidden="1" x14ac:dyDescent="0.25">
      <c r="A161" s="92" t="s">
        <v>207</v>
      </c>
      <c r="B161" s="95">
        <f>B124</f>
        <v>0.189442</v>
      </c>
      <c r="C161" s="95">
        <f>C124</f>
        <v>0.330953</v>
      </c>
      <c r="F161" s="97" t="e">
        <f>AVERAGE(F157:F160)</f>
        <v>#DIV/0!</v>
      </c>
    </row>
    <row r="162" spans="1:6" hidden="1" x14ac:dyDescent="0.25">
      <c r="A162" s="91" t="s">
        <v>208</v>
      </c>
      <c r="B162" s="25">
        <f>B112</f>
        <v>0.25960100000000003</v>
      </c>
      <c r="C162" s="25">
        <f>C112</f>
        <v>0.25615100000000002</v>
      </c>
    </row>
    <row r="163" spans="1:6" ht="30" hidden="1" x14ac:dyDescent="0.25">
      <c r="A163" s="40" t="s">
        <v>209</v>
      </c>
      <c r="B163" s="25">
        <f>AVERAGE(B157,B158,B161,B162)</f>
        <v>0.18999874999999999</v>
      </c>
      <c r="C163" s="25">
        <f>AVERAGE(C157,C158,C161,C162)</f>
        <v>0.27963275000000004</v>
      </c>
      <c r="F163" s="96">
        <f>C163/B163</f>
        <v>1.4717609984276214</v>
      </c>
    </row>
    <row r="164" spans="1:6" ht="30" hidden="1" x14ac:dyDescent="0.25">
      <c r="A164" s="40" t="s">
        <v>212</v>
      </c>
      <c r="B164" s="25">
        <f>AVERAGE(B157,B158,B161)</f>
        <v>0.166798</v>
      </c>
      <c r="C164" s="25">
        <f>AVERAGE(C157,C158,C161)</f>
        <v>0.28746000000000005</v>
      </c>
      <c r="F164" s="96">
        <f>C164/B164</f>
        <v>1.7234019592561065</v>
      </c>
    </row>
  </sheetData>
  <sheetProtection algorithmName="SHA-512" hashValue="pHiJ5ateF41XFTM5m90H32S1e2SH3zTHH5G790pwTmvyycBhMtTbZMgEMiIeDoeXP/YsV4F8KcuJAqjPnk7fmA==" saltValue="OLAgJykpTHc2hoqq/o3vU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2025-09-17T20:49:12Z</dcterms:modified>
</cp:coreProperties>
</file>